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3.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4.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5.xml" ContentType="application/vnd.openxmlformats-officedocument.drawing+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6.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drawings/drawing7.xml" ContentType="application/vnd.openxmlformats-officedocument.drawing+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drawings/drawing8.xml" ContentType="application/vnd.openxmlformats-officedocument.drawing+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ad.uwm.edu\Shares\_O_GSOR\ITA\Projects\Budget Tool (OSP) - DEVELOPMENT\"/>
    </mc:Choice>
  </mc:AlternateContent>
  <xr:revisionPtr revIDLastSave="0" documentId="13_ncr:1_{2D01106C-F221-497E-A4A0-96EB58FCBC26}" xr6:coauthVersionLast="47" xr6:coauthVersionMax="47" xr10:uidLastSave="{00000000-0000-0000-0000-000000000000}"/>
  <bookViews>
    <workbookView xWindow="11445" yWindow="690" windowWidth="23340" windowHeight="17550" tabRatio="840" activeTab="1" xr2:uid="{00000000-000D-0000-FFFF-FFFF00000000}"/>
  </bookViews>
  <sheets>
    <sheet name="General Instructions" sheetId="15" r:id="rId1"/>
    <sheet name="Project Data" sheetId="1" r:id="rId2"/>
    <sheet name="Budget Period 1" sheetId="4" r:id="rId3"/>
    <sheet name="Budget Period 2" sheetId="6" r:id="rId4"/>
    <sheet name="Budget Period 3" sheetId="7" r:id="rId5"/>
    <sheet name="Budget Period 4" sheetId="12" r:id="rId6"/>
    <sheet name="Budget Period 5" sheetId="13" r:id="rId7"/>
    <sheet name="Budget Period 6" sheetId="14" r:id="rId8"/>
    <sheet name="Cumulative" sheetId="10" r:id="rId9"/>
    <sheet name="Totals" sheetId="17" r:id="rId10"/>
    <sheet name="Modular" sheetId="19" r:id="rId11"/>
    <sheet name="Industry" sheetId="20" r:id="rId12"/>
    <sheet name="Notes" sheetId="11" r:id="rId13"/>
    <sheet name="Detailed Instructions" sheetId="16" r:id="rId14"/>
    <sheet name="Rates" sheetId="5" r:id="rId15"/>
    <sheet name="ChangeLog" sheetId="18" r:id="rId16"/>
    <sheet name="Drop-Down_Options" sheetId="3" state="hidden" r:id="rId17"/>
    <sheet name="Calc" sheetId="2" state="hidden" r:id="rId18"/>
  </sheets>
  <definedNames>
    <definedName name="Data_Agency">'Project Data'!$I$11</definedName>
    <definedName name="Data_DirectCostsConsultants_Y1_1">'Budget Period 1'!$AK$119</definedName>
    <definedName name="Data_DirectCostsConsultants_Y1_2">'Budget Period 1'!$AK$120</definedName>
    <definedName name="Data_DirectCostsConsultants_Y1_3">'Budget Period 1'!$AK$121</definedName>
    <definedName name="Data_DirectCostsConsultants_Y1_4">'Budget Period 1'!$AK$122</definedName>
    <definedName name="Data_DirectCostsConsultants_Y2_1">'Budget Period 2'!$AK$119</definedName>
    <definedName name="Data_DirectCostsConsultants_Y2_2">'Budget Period 2'!$AK$120</definedName>
    <definedName name="Data_DirectCostsConsultants_Y2_3">'Budget Period 2'!$AK$121</definedName>
    <definedName name="Data_DirectCostsConsultants_Y2_4">'Budget Period 2'!$AK$122</definedName>
    <definedName name="Data_DirectCostsConsultants_Y3_1">'Budget Period 3'!$AK$119</definedName>
    <definedName name="Data_DirectCostsConsultants_Y3_2">'Budget Period 3'!$AK$120</definedName>
    <definedName name="Data_DirectCostsConsultants_Y3_3">'Budget Period 3'!$AK$121</definedName>
    <definedName name="Data_DirectCostsConsultants_Y3_4">'Budget Period 3'!$AK$122</definedName>
    <definedName name="Data_DirectCostsConsultants_Y4_1">'Budget Period 4'!$AK$119</definedName>
    <definedName name="Data_DirectCostsConsultants_Y4_2">'Budget Period 4'!$AK$120</definedName>
    <definedName name="Data_DirectCostsConsultants_Y4_3">'Budget Period 4'!$AK$121</definedName>
    <definedName name="Data_DirectCostsConsultants_Y4_4">'Budget Period 4'!$AK$122</definedName>
    <definedName name="Data_DirectCostsConsultants_Y5_1">'Budget Period 5'!$AK$119</definedName>
    <definedName name="Data_DirectCostsConsultants_Y5_2">'Budget Period 5'!$AK$120</definedName>
    <definedName name="Data_DirectCostsConsultants_Y5_3">'Budget Period 5'!$AK$121</definedName>
    <definedName name="Data_DirectCostsConsultants_Y5_4">'Budget Period 5'!$AK$122</definedName>
    <definedName name="Data_DirectCostsConsultants_Y6_1">'Budget Period 6'!$AK$119</definedName>
    <definedName name="Data_DirectCostsConsultants_Y6_2">'Budget Period 6'!$AK$120</definedName>
    <definedName name="Data_DirectCostsConsultants_Y6_3">'Budget Period 6'!$AK$121</definedName>
    <definedName name="Data_DirectCostsConsultants_Y6_4">'Budget Period 6'!$AK$122</definedName>
    <definedName name="Data_DirectCostsMaintenance_Y1">'Budget Period 1'!$AK$123</definedName>
    <definedName name="Data_DirectCostsMaintenance_Y2">'Budget Period 2'!$AK$123</definedName>
    <definedName name="Data_DirectCostsMaintenance_Y3">'Budget Period 3'!$AK$123</definedName>
    <definedName name="Data_DirectCostsMaintenance_Y4">'Budget Period 4'!$AK$123</definedName>
    <definedName name="Data_DirectCostsMaintenance_Y5">'Budget Period 5'!$AK$123</definedName>
    <definedName name="Data_DirectCostsMaintenance_Y6">'Budget Period 6'!$AK$123</definedName>
    <definedName name="Data_DirectCostsMaterialsSupplies_Y1">'Budget Period 1'!$AK$117</definedName>
    <definedName name="Data_DirectCostsMaterialsSupplies_Y2">'Budget Period 2'!$AK$117</definedName>
    <definedName name="Data_DirectCostsMaterialsSupplies_Y3">'Budget Period 3'!$AK$117</definedName>
    <definedName name="Data_DirectCostsMaterialsSupplies_Y4">'Budget Period 4'!$AK$117</definedName>
    <definedName name="Data_DirectCostsMaterialsSupplies_Y5">'Budget Period 5'!$AK$117</definedName>
    <definedName name="Data_DirectCostsMaterialsSupplies_Y6">'Budget Period 6'!$AK$117</definedName>
    <definedName name="Data_DirectCostsOther_Y1">'Budget Period 1'!$AK$124,'Budget Period 1'!$AK$126:$AN$129</definedName>
    <definedName name="Data_DirectCostsOther_Y2">'Budget Period 2'!$AK$124,'Budget Period 2'!$AK$126:$AN$129</definedName>
    <definedName name="Data_DirectCostsOther_Y3">'Budget Period 3'!$AK$124,'Budget Period 3'!$AK$126:$AN$129</definedName>
    <definedName name="Data_DirectCostsOther_Y4">'Budget Period 4'!$AK$124,'Budget Period 4'!$AK$126:$AN$129</definedName>
    <definedName name="Data_DirectCostsOther_Y5">'Budget Period 5'!$AK$124,'Budget Period 5'!$AK$126:$AN$129</definedName>
    <definedName name="Data_DirectCostsOther_Y6">'Budget Period 6'!$AK$124,'Budget Period 6'!$AK$126:$AN$129</definedName>
    <definedName name="Data_DirectCostsPublications_Y1">'Budget Period 1'!$AK$118</definedName>
    <definedName name="Data_DirectCostsPublications_Y2">'Budget Period 2'!$AK$118</definedName>
    <definedName name="Data_DirectCostsPublications_Y3">'Budget Period 3'!$AK$118</definedName>
    <definedName name="Data_DirectCostsPublications_Y4">'Budget Period 4'!$AK$118</definedName>
    <definedName name="Data_DirectCostsPublications_Y5">'Budget Period 5'!$AK$118</definedName>
    <definedName name="Data_DirectCostsPublications_Y6">'Budget Period 6'!$AK$118</definedName>
    <definedName name="Data_Exclude_Equipment">Calc!$G$22</definedName>
    <definedName name="Data_Exclude_Fringes">Calc!$D$23</definedName>
    <definedName name="Data_Exclude_NonUWSubawards">Calc!$J$22</definedName>
    <definedName name="Data_Exclude_NonUWSubawardsExceeding25K">Calc!$J$23</definedName>
    <definedName name="Data_Exclude_OtherCosts">Calc!$J$24</definedName>
    <definedName name="Data_Exclude_ParticipantCosts">Calc!$G$24</definedName>
    <definedName name="Data_Exclude_SalariesWages">Calc!$D$22</definedName>
    <definedName name="Data_Exclude_Travel">Calc!$G$23</definedName>
    <definedName name="Data_Exclude_Tuition">Calc!$D$24</definedName>
    <definedName name="Data_ParticipantCostsOther_Y1">'Budget Period 1'!$AK$93:$AN$99</definedName>
    <definedName name="Data_ParticipantCostsOther_Y2">'Budget Period 2'!$AK$93:$AN$99</definedName>
    <definedName name="Data_ParticipantCostsOther_Y3">'Budget Period 3'!$AK$93:$AN$99</definedName>
    <definedName name="Data_ParticipantCostsOther_Y4">'Budget Period 4'!$AK$93:$AN$99</definedName>
    <definedName name="Data_ParticipantCostsOther_Y5">'Budget Period 5'!$AK$93:$AN$99</definedName>
    <definedName name="Data_ParticipantCostsOther_Y6">'Budget Period 6'!$AK$93:$AN$99</definedName>
    <definedName name="Data_ParticipantStipends_Y1">'Budget Period 1'!$AK$90</definedName>
    <definedName name="Data_ParticipantStipends_Y2">'Budget Period 2'!$AK$90</definedName>
    <definedName name="Data_ParticipantStipends_Y3">'Budget Period 3'!$AK$90</definedName>
    <definedName name="Data_ParticipantStipends_Y4">'Budget Period 4'!$AK$90</definedName>
    <definedName name="Data_ParticipantStipends_Y5">'Budget Period 5'!$AK$90</definedName>
    <definedName name="Data_ParticipantStipends_Y6">'Budget Period 6'!$AK$90</definedName>
    <definedName name="Data_ParticipantSubsistence_Y1">'Budget Period 1'!$AK$92</definedName>
    <definedName name="Data_ParticipantSubsistence_Y2">'Budget Period 2'!$AK$92</definedName>
    <definedName name="Data_ParticipantSubsistence_Y3">'Budget Period 3'!$AK$92</definedName>
    <definedName name="Data_ParticipantSubsistence_Y4">'Budget Period 4'!$AK$92</definedName>
    <definedName name="Data_ParticipantSubsistence_Y5">'Budget Period 5'!$AK$92</definedName>
    <definedName name="Data_ParticipantSubsistence_Y6">'Budget Period 6'!$AK$92</definedName>
    <definedName name="Data_ParticipantTravel_Y1">'Budget Period 1'!$AK$91</definedName>
    <definedName name="Data_ParticipantTravel_Y2">'Budget Period 2'!$AK$91</definedName>
    <definedName name="Data_ParticipantTravel_Y3">'Budget Period 3'!$AK$91</definedName>
    <definedName name="Data_ParticipantTravel_Y4">'Budget Period 4'!$AK$91</definedName>
    <definedName name="Data_ParticipantTravel_Y5">'Budget Period 5'!$AK$91</definedName>
    <definedName name="Data_ParticipantTravel_Y6">'Budget Period 6'!$AK$91</definedName>
    <definedName name="Data_PIName">'Project Data'!$I$9</definedName>
    <definedName name="Data_PreventTuitionCalculation">'Drop-Down_Options'!$E$3</definedName>
    <definedName name="Data_PrimeSponsor">'Project Data'!$I$13</definedName>
    <definedName name="Data_ProjectEndDate">'Project Data'!$I$22</definedName>
    <definedName name="Data_ProjectStartDate">'Project Data'!$I$18</definedName>
    <definedName name="Data_ProjectTitle">'Project Data'!$I$15</definedName>
    <definedName name="DATA_RA_Rate_Custom">'Project Data'!$P$44</definedName>
    <definedName name="Data_SalaryInflationRate">'Project Data'!$I$29</definedName>
    <definedName name="Data_SalaryInflationRatePI">Rates!$M$111</definedName>
    <definedName name="Data_Subaward_Y1_1">'Budget Period 1'!$AK$103</definedName>
    <definedName name="Data_Subaward_Y1_2">'Budget Period 1'!$AK$104</definedName>
    <definedName name="Data_Subaward_Y1_3">'Budget Period 1'!$AK$105</definedName>
    <definedName name="Data_Subaward_Y1_4">'Budget Period 1'!$AK$106</definedName>
    <definedName name="Data_Subaward_Y1_5">'Budget Period 1'!$AK$107</definedName>
    <definedName name="Data_Subaward_Y2_1">'Budget Period 2'!$AK$103</definedName>
    <definedName name="Data_Subaward_Y2_2">'Budget Period 2'!$AK$104</definedName>
    <definedName name="Data_Subaward_Y2_3">'Budget Period 2'!$AK$105</definedName>
    <definedName name="Data_Subaward_Y2_4">'Budget Period 2'!$AK$106</definedName>
    <definedName name="Data_Subaward_Y2_5">'Budget Period 2'!$AK$107</definedName>
    <definedName name="Data_Subaward_Y3_1">'Budget Period 3'!$AK$103</definedName>
    <definedName name="Data_Subaward_Y3_2">'Budget Period 3'!$AK$104</definedName>
    <definedName name="Data_Subaward_Y3_3">'Budget Period 3'!$AK$105</definedName>
    <definedName name="Data_Subaward_Y3_4">'Budget Period 3'!$AK$106</definedName>
    <definedName name="Data_Subaward_Y3_5">'Budget Period 3'!$AK$107</definedName>
    <definedName name="Data_Subaward_Y4_1">'Budget Period 4'!$AK$103</definedName>
    <definedName name="Data_Subaward_Y4_2">'Budget Period 4'!$AK$104</definedName>
    <definedName name="Data_Subaward_Y4_3">'Budget Period 4'!$AK$105</definedName>
    <definedName name="Data_Subaward_Y4_4">'Budget Period 4'!$AK$106</definedName>
    <definedName name="Data_Subaward_Y4_5">'Budget Period 4'!$AK$107</definedName>
    <definedName name="Data_Subaward_Y5_1">'Budget Period 5'!$AK$103</definedName>
    <definedName name="Data_Subaward_Y5_2">'Budget Period 5'!$AK$104</definedName>
    <definedName name="Data_Subaward_Y5_3">'Budget Period 5'!$AK$105</definedName>
    <definedName name="Data_Subaward_Y5_4">'Budget Period 5'!$AK$106</definedName>
    <definedName name="Data_Subaward_Y5_5">'Budget Period 5'!$AK$107</definedName>
    <definedName name="Data_Subaward_Y6_1">'Budget Period 6'!$AK$103</definedName>
    <definedName name="Data_Subaward_Y6_2">'Budget Period 6'!$AK$104</definedName>
    <definedName name="Data_Subaward_Y6_3">'Budget Period 6'!$AK$105</definedName>
    <definedName name="Data_Subaward_Y6_4">'Budget Period 6'!$AK$106</definedName>
    <definedName name="Data_Subaward_Y6_5">'Budget Period 6'!$AK$107</definedName>
    <definedName name="DropDown_FA_RateTypes">'Drop-Down_Options'!$B$93:$B$98</definedName>
    <definedName name="DropDown_FABase">'Drop-Down_Options'!$B$15:$B$18</definedName>
    <definedName name="DropDown_GradAssistantTypes">'Drop-Down_Options'!$B$53:$B$65</definedName>
    <definedName name="DropDown_Modules">'Drop-Down_Options'!$B$80:$B$90</definedName>
    <definedName name="DropDown_PayBasis">'Drop-Down_Options'!$B$34:$B$38</definedName>
    <definedName name="DropDown_Period">'Drop-Down_Options'!$B$44:$B$47</definedName>
    <definedName name="DropDown_ProjectType">'Drop-Down_Options'!$B$71:$B$74</definedName>
    <definedName name="DropDown_RA_PA">'Drop-Down_Options'!$F$33:$F$36</definedName>
    <definedName name="DropDown_RA_PA_LengthAndPercentage">'Drop-Down_Options'!$F$43:$F$49</definedName>
    <definedName name="DropDown_RAAreaSelection">'Drop-Down_Options'!$I$7:$I$54</definedName>
    <definedName name="Dropdown_Role">'Drop-Down_Options'!$B$24:$B$28</definedName>
    <definedName name="DropDown_SponsorType">'Drop-Down_Options'!$B$7:$D$9</definedName>
    <definedName name="FA_Rate_Instruction_Y1">Rates!$H$48</definedName>
    <definedName name="FA_Rate_Instruction_Y2">Rates!$I$48</definedName>
    <definedName name="FA_Rate_Instruction_Y3">Rates!$J$48</definedName>
    <definedName name="FA_Rate_Instruction_Y4">Rates!$K$48</definedName>
    <definedName name="FA_Rate_Instruction_Y5">Rates!$L$48</definedName>
    <definedName name="FA_Rate_Instruction_Y6">Rates!$M$48</definedName>
    <definedName name="FA_Rate_OffCampus_Y1">Rates!$H$50</definedName>
    <definedName name="FA_Rate_OffCampus_Y2">Rates!$I$50</definedName>
    <definedName name="FA_Rate_OffCampus_Y3">Rates!$J$50</definedName>
    <definedName name="FA_Rate_OffCampus_Y4">Rates!$K$50</definedName>
    <definedName name="FA_Rate_OffCampus_Y5">Rates!$L$50</definedName>
    <definedName name="FA_Rate_OffCampus_Y6">Rates!$M$50</definedName>
    <definedName name="FA_Rate_PubServ_Y1">Rates!$H$49</definedName>
    <definedName name="FA_Rate_PubServ_Y2">Rates!$I$49</definedName>
    <definedName name="FA_Rate_PubServ_Y3">Rates!$J$49</definedName>
    <definedName name="FA_Rate_PubServ_Y4">Rates!$K$49</definedName>
    <definedName name="FA_Rate_PubServ_Y5">Rates!$L$49</definedName>
    <definedName name="FA_Rate_PubServ_Y6">Rates!$M$49</definedName>
    <definedName name="FA_Rate_Research_Y1">Rates!$H$47</definedName>
    <definedName name="FA_Rate_Research_Y2">Rates!$I$47</definedName>
    <definedName name="FA_Rate_Research_Y3">Rates!$J$47</definedName>
    <definedName name="FA_Rate_Research_Y4">Rates!$K$47</definedName>
    <definedName name="FA_Rate_Research_Y5">Rates!$L$47</definedName>
    <definedName name="FA_Rate_Research_Y6">Rates!$M$47</definedName>
    <definedName name="FA_Rate_Y1">'Project Data'!$L$42</definedName>
    <definedName name="FA_Rate_Y2">'Project Data'!$M$42</definedName>
    <definedName name="FA_Rate_Y3">'Project Data'!$N$42</definedName>
    <definedName name="FA_Rate_Y4">'Project Data'!$O$42</definedName>
    <definedName name="FA_Rate_Y5">'Project Data'!$P$42</definedName>
    <definedName name="FA_Rate_Y6">'Project Data'!$Q$42</definedName>
    <definedName name="FringeRate_Y1_Classified">Rates!$H$33</definedName>
    <definedName name="FringeRate_Y1_Faculty">Rates!$H$32</definedName>
    <definedName name="FringeRate_Y1_GradStudent">Rates!$H$30</definedName>
    <definedName name="FringeRate_Y1_LTE">Rates!$H$34</definedName>
    <definedName name="FringeRate_Y1_PostDoc">Rates!$H$31</definedName>
    <definedName name="FringeRate_Y1_RA">Rates!$H$31</definedName>
    <definedName name="FringeRate_Y1_Student">Rates!$H$29</definedName>
    <definedName name="FringeRate_Y2_Classified">Rates!$I$33</definedName>
    <definedName name="FringeRate_Y2_Faculty">Rates!$I$32</definedName>
    <definedName name="FringeRate_Y2_GradStudent">Rates!$I$30</definedName>
    <definedName name="FringeRate_Y2_LTE">Rates!$I$34</definedName>
    <definedName name="FringeRate_Y2_PostDoc">Rates!$I$31</definedName>
    <definedName name="FringeRate_Y2_RA">Rates!$I$31</definedName>
    <definedName name="FringeRate_Y2_Student">Rates!$I$29</definedName>
    <definedName name="FringeRate_Y3_Classified">Rates!$J$33</definedName>
    <definedName name="FringeRate_Y3_Faculty">Rates!$J$32</definedName>
    <definedName name="FringeRate_Y3_GradStudent">Rates!$J$30</definedName>
    <definedName name="FringeRate_Y3_LTE">Rates!$J$34</definedName>
    <definedName name="FringeRate_Y3_PostDoc">Rates!$J$31</definedName>
    <definedName name="FringeRate_Y3_RA">Rates!$J$31</definedName>
    <definedName name="FringeRate_Y3_Student">Rates!$J$29</definedName>
    <definedName name="FringeRate_Y4_Classified">Rates!$K$33</definedName>
    <definedName name="FringeRate_Y4_Faculty">Rates!$K$32</definedName>
    <definedName name="FringeRate_Y4_GradStudent">Rates!$K$30</definedName>
    <definedName name="FringeRate_Y4_LTE">Rates!$K$34</definedName>
    <definedName name="FringeRate_Y4_PostDoc">Rates!$K$31</definedName>
    <definedName name="FringeRate_Y4_RA">Rates!$K$31</definedName>
    <definedName name="FringeRate_Y4_Student">Rates!$K$29</definedName>
    <definedName name="FringeRate_Y5_Classified">Rates!$L$33</definedName>
    <definedName name="FringeRate_Y5_Faculty">Rates!$L$32</definedName>
    <definedName name="FringeRate_Y5_GradStudent">Rates!$L$30</definedName>
    <definedName name="FringeRate_Y5_LTE">Rates!$L$34</definedName>
    <definedName name="FringeRate_Y5_PostDoc">Rates!$L$31</definedName>
    <definedName name="FringeRate_Y5_RA">Rates!$L$31</definedName>
    <definedName name="FringeRate_Y5_Student">Rates!$L$29</definedName>
    <definedName name="FringeRate_Y6_Classified">Rates!$M$33</definedName>
    <definedName name="FringeRate_Y6_Faculty">Rates!$M$32</definedName>
    <definedName name="FringeRate_Y6_GradStudent">Rates!$M$30</definedName>
    <definedName name="FringeRate_Y6_LTE">Rates!$M$34</definedName>
    <definedName name="FringeRate_Y6_PostDoc">Rates!$M$31</definedName>
    <definedName name="FringeRate_Y6_Student">Rates!$M$29</definedName>
    <definedName name="_xlnm.Print_Area" localSheetId="2">'Budget Period 1'!$B$2:$AV$147</definedName>
    <definedName name="_xlnm.Print_Area" localSheetId="3">'Budget Period 2'!$B$2:$AV$147</definedName>
    <definedName name="_xlnm.Print_Area" localSheetId="4">'Budget Period 3'!$B$2:$AV$147</definedName>
    <definedName name="_xlnm.Print_Area" localSheetId="5">'Budget Period 4'!$B$2:$AV$147</definedName>
    <definedName name="_xlnm.Print_Area" localSheetId="6">'Budget Period 5'!$B$2:$AV$147</definedName>
    <definedName name="_xlnm.Print_Area" localSheetId="7">'Budget Period 6'!$B$2:$AV$147</definedName>
    <definedName name="_xlnm.Print_Area" localSheetId="8">Cumulative!$B$2:$AE$75</definedName>
    <definedName name="_xlnm.Print_Area" localSheetId="13">'Detailed Instructions'!$B$1:$J$235</definedName>
    <definedName name="_xlnm.Print_Area" localSheetId="0">'General Instructions'!$B$1:$K$109</definedName>
    <definedName name="_xlnm.Print_Area" localSheetId="11">Industry!$B$2:$Z$54</definedName>
    <definedName name="_xlnm.Print_Area" localSheetId="10">Modular!$A$1:$W$67</definedName>
    <definedName name="_xlnm.Print_Area" localSheetId="1">'Project Data'!$B$2:$U$58</definedName>
    <definedName name="_xlnm.Print_Area" localSheetId="14">Rates!$B$2:$N$165</definedName>
    <definedName name="_xlnm.Print_Area" localSheetId="9">Totals!$B$2:$AF$41</definedName>
    <definedName name="_xlnm.Print_Titles" localSheetId="2">'Budget Period 1'!$2:$8</definedName>
    <definedName name="_xlnm.Print_Titles" localSheetId="3">'Budget Period 2'!$2:$8</definedName>
    <definedName name="_xlnm.Print_Titles" localSheetId="4">'Budget Period 3'!$2:$8</definedName>
    <definedName name="_xlnm.Print_Titles" localSheetId="5">'Budget Period 4'!$2:$8</definedName>
    <definedName name="_xlnm.Print_Titles" localSheetId="6">'Budget Period 5'!$2:$8</definedName>
    <definedName name="_xlnm.Print_Titles" localSheetId="7">'Budget Period 6'!$2:$8</definedName>
    <definedName name="Result_Base">'Drop-Down_Options'!$F$14</definedName>
    <definedName name="Result_EquipmentCost_Y1">'Budget Period 1'!$AP$66</definedName>
    <definedName name="Result_EquipmentCost_Y2">'Budget Period 2'!$AP$66</definedName>
    <definedName name="Result_EquipmentCost_Y3">'Budget Period 3'!$AP$66</definedName>
    <definedName name="Result_EquipmentCost_Y4">'Budget Period 4'!$AP$66</definedName>
    <definedName name="Result_EquipmentCost_Y5">'Budget Period 5'!$AP$66</definedName>
    <definedName name="Result_EquipmentCost_Y6">'Budget Period 6'!$AP$66</definedName>
    <definedName name="Result_FACostBase_Y1">'Budget Period 1'!$AP$141</definedName>
    <definedName name="Result_FACostBase_Y2">'Budget Period 2'!$AP$141</definedName>
    <definedName name="Result_FACostBase_Y3">'Budget Period 3'!$AP$141</definedName>
    <definedName name="Result_FACostBase_Y4">'Budget Period 4'!$AP$141</definedName>
    <definedName name="Result_FACostBase_Y5">'Budget Period 5'!$AP$141</definedName>
    <definedName name="Result_FACostBase_Y6">'Budget Period 6'!$AP$141</definedName>
    <definedName name="Result_FringeBenefits_Y1">'Budget Period 1'!$T$134</definedName>
    <definedName name="Result_FringeBenefits_Y2">'Budget Period 2'!$T$134</definedName>
    <definedName name="Result_FringeBenefits_Y3">'Budget Period 3'!$T$134</definedName>
    <definedName name="Result_FringeBenefits_Y4">'Budget Period 4'!$T$134</definedName>
    <definedName name="Result_FringeBenefits_Y5">'Budget Period 5'!$T$134</definedName>
    <definedName name="Result_FringeBenefits_Y6">'Budget Period 6'!$T$134</definedName>
    <definedName name="Result_GradAsstFringe_Y1">'Budget Period 1'!$AO$42</definedName>
    <definedName name="Result_GradAsstFringe_Y2">'Budget Period 2'!$AO$42</definedName>
    <definedName name="Result_GradAsstFringe_Y3">'Budget Period 3'!$AO$42</definedName>
    <definedName name="Result_GradAsstFringe_Y4">'Budget Period 4'!$AO$42</definedName>
    <definedName name="Result_GradAsstFringe_Y5">'Budget Period 5'!$AO$42</definedName>
    <definedName name="Result_GradAsstFringe_Y6">'Budget Period 6'!$AO$42</definedName>
    <definedName name="Result_GradAsstSalary_Y1">'Budget Period 1'!$AI$42</definedName>
    <definedName name="Result_GradAsstSalary_Y2">'Budget Period 2'!$AI$42</definedName>
    <definedName name="Result_GradAsstSalary_Y3">'Budget Period 3'!$AI$42</definedName>
    <definedName name="Result_GradAsstSalary_Y4">'Budget Period 4'!$AI$42</definedName>
    <definedName name="Result_GradAsstSalary_Y5">'Budget Period 5'!$AI$42</definedName>
    <definedName name="Result_GradAsstSalary_Y6">'Budget Period 6'!$AI$42</definedName>
    <definedName name="Result_IndirectCosts_Y1">'Budget Period 1'!$AP$143</definedName>
    <definedName name="Result_IndirectCosts_Y2">'Budget Period 2'!$AP$143</definedName>
    <definedName name="Result_IndirectCosts_Y3">'Budget Period 3'!$AP$143</definedName>
    <definedName name="Result_IndirectCosts_Y4">'Budget Period 4'!$AP$143</definedName>
    <definedName name="Result_IndirectCosts_Y5">'Budget Period 5'!$AP$143</definedName>
    <definedName name="Result_IndirectCosts_Y6">'Budget Period 6'!$AP$143</definedName>
    <definedName name="Result_InflationYears">Rates!$L$15</definedName>
    <definedName name="Result_OtherDirectCosts_Y1">'Budget Period 1'!$AP$130</definedName>
    <definedName name="Result_OtherDirectCosts_Y2">'Budget Period 2'!$AP$130</definedName>
    <definedName name="Result_OtherDirectCosts_Y3">'Budget Period 3'!$AP$130</definedName>
    <definedName name="Result_OtherDirectCosts_Y4">'Budget Period 4'!$AP$130</definedName>
    <definedName name="Result_OtherDirectCosts_Y5">'Budget Period 5'!$AP$130</definedName>
    <definedName name="Result_OtherDirectCosts_Y6">'Budget Period 6'!$AP$130</definedName>
    <definedName name="Result_ParticipantCosts_Y1">'Budget Period 1'!$AP$100</definedName>
    <definedName name="Result_ParticipantCosts_Y2">'Budget Period 2'!$AP$100</definedName>
    <definedName name="Result_ParticipantCosts_Y3">'Budget Period 3'!$AP$100</definedName>
    <definedName name="Result_ParticipantCosts_Y4">'Budget Period 4'!$AP$100</definedName>
    <definedName name="Result_ParticipantCosts_Y5">'Budget Period 5'!$AP$100</definedName>
    <definedName name="Result_ParticipantCosts_Y6">'Budget Period 6'!$AP$100</definedName>
    <definedName name="Result_PersonnelCosts_Y1">'Budget Period 1'!$AP$134</definedName>
    <definedName name="Result_PersonnelCosts_Y2">'Budget Period 2'!$AP$134</definedName>
    <definedName name="Result_PersonnelCosts_Y3">'Budget Period 3'!$AP$134</definedName>
    <definedName name="Result_PersonnelCosts_Y4">'Budget Period 4'!$AP$134</definedName>
    <definedName name="Result_PersonnelCosts_Y5">'Budget Period 5'!$AP$134</definedName>
    <definedName name="Result_PersonnelCosts_Y6">'Budget Period 6'!$AP$134</definedName>
    <definedName name="Result_PersonnelFringe_Y1">'Budget Period 1'!$AO$32</definedName>
    <definedName name="Result_PersonnelFringe_Y2">'Budget Period 2'!$AO$32</definedName>
    <definedName name="Result_PersonnelFringe_Y3">'Budget Period 3'!$AO$32</definedName>
    <definedName name="Result_PersonnelFringe_Y4">'Budget Period 4'!$AO$32</definedName>
    <definedName name="Result_PersonnelFringe_Y5">'Budget Period 5'!$AO$32</definedName>
    <definedName name="Result_PersonnelFringe_Y6">'Budget Period 6'!$AO$32</definedName>
    <definedName name="Result_PersonnelSalary_Y1">'Budget Period 1'!$AI$32</definedName>
    <definedName name="Result_PersonnelSalary_Y2">'Budget Period 2'!$AI$32</definedName>
    <definedName name="Result_PersonnelSalary_Y3">'Budget Period 3'!$AI$32</definedName>
    <definedName name="Result_PersonnelSalary_Y4">'Budget Period 4'!$AI$32</definedName>
    <definedName name="Result_PersonnelSalary_Y5">'Budget Period 5'!$AI$32</definedName>
    <definedName name="Result_PersonnelSalary_Y6">'Budget Period 6'!$AI$32</definedName>
    <definedName name="Result_ProjectType">'Drop-Down_Options'!$F$70</definedName>
    <definedName name="Result_SalariesWages_Y1">'Budget Period 1'!$O$134</definedName>
    <definedName name="Result_SalariesWages_Y2">'Budget Period 2'!$O$134</definedName>
    <definedName name="Result_SalariesWages_Y3">'Budget Period 3'!$O$134</definedName>
    <definedName name="Result_SalariesWages_Y4">'Budget Period 4'!$O$134</definedName>
    <definedName name="Result_SalariesWages_Y5">'Budget Period 5'!$O$134</definedName>
    <definedName name="Result_SalariesWages_Y6">'Budget Period 6'!$O$134</definedName>
    <definedName name="Result_SponsorType">'Drop-Down_Options'!$F$6</definedName>
    <definedName name="Result_StudentFringe_Y1">'Budget Period 1'!$AO$52</definedName>
    <definedName name="Result_StudentFringe_Y2">'Budget Period 2'!$AO$52</definedName>
    <definedName name="Result_StudentFringe_Y3">'Budget Period 3'!$AO$52</definedName>
    <definedName name="Result_StudentFringe_Y4">'Budget Period 4'!$AO$52</definedName>
    <definedName name="Result_StudentFringe_Y5">'Budget Period 5'!$AO$52</definedName>
    <definedName name="Result_StudentFringe_Y6">'Budget Period 6'!$AO$52</definedName>
    <definedName name="Result_StudentSalary_Y1">'Budget Period 1'!$AI$52</definedName>
    <definedName name="Result_StudentSalary_Y2">'Budget Period 2'!$AI$52</definedName>
    <definedName name="Result_StudentSalary_Y3">'Budget Period 3'!$AI$52</definedName>
    <definedName name="Result_StudentSalary_Y4">'Budget Period 4'!$AI$52</definedName>
    <definedName name="Result_StudentSalary_Y5">'Budget Period 5'!$AI$52</definedName>
    <definedName name="Result_StudentSalary_Y6">'Budget Period 6'!$AI$52</definedName>
    <definedName name="Result_SubawardBase_Y1_1">Calc!$D$8</definedName>
    <definedName name="Result_SubawardBase_Y1_2">Calc!$D$9</definedName>
    <definedName name="Result_SubawardBase_Y1_3">Calc!$D$10</definedName>
    <definedName name="Result_SubawardBase_Y1_4">Calc!$D$11</definedName>
    <definedName name="Result_SubawardBase_Y1_5">Calc!$D$12</definedName>
    <definedName name="Result_SubawardBase_Y1_TOTAL">Calc!$D$14</definedName>
    <definedName name="Result_SubawardBase_Y2_1">Calc!$E$8</definedName>
    <definedName name="Result_SubawardBase_Y2_2">Calc!$E$9</definedName>
    <definedName name="Result_SubawardBase_Y2_3">Calc!$E$10</definedName>
    <definedName name="Result_SubawardBase_Y2_4">Calc!$E$11</definedName>
    <definedName name="Result_SubawardBase_Y2_5">Calc!$E$12</definedName>
    <definedName name="Result_SubawardBase_Y2_TOTAL">Calc!$E$14</definedName>
    <definedName name="Result_SubawardBase_Y3_1">Calc!$F$8</definedName>
    <definedName name="Result_SubawardBase_Y3_2">Calc!$F$9</definedName>
    <definedName name="Result_SubawardBase_Y3_3">Calc!$F$10</definedName>
    <definedName name="Result_SubawardBase_Y3_4">Calc!$F$11</definedName>
    <definedName name="Result_SubawardBase_Y3_5">Calc!$F$12</definedName>
    <definedName name="Result_SubawardBase_Y3_TOTAL">Calc!$F$14</definedName>
    <definedName name="Result_SubawardBase_Y4_1">Calc!$G$8</definedName>
    <definedName name="Result_SubawardBase_Y4_2">Calc!$G$9</definedName>
    <definedName name="Result_SubawardBase_Y4_3">Calc!$G$10</definedName>
    <definedName name="Result_SubawardBase_Y4_4">Calc!$G$11</definedName>
    <definedName name="Result_SubawardBase_Y4_5">Calc!$G$12</definedName>
    <definedName name="Result_SubawardBase_Y4_TOTAL">Calc!$G$14</definedName>
    <definedName name="Result_SubawardBase_Y5_1">Calc!$H$8</definedName>
    <definedName name="Result_SubawardBase_Y5_2">Calc!$H$9</definedName>
    <definedName name="Result_SubawardBase_Y5_3">Calc!$H$10</definedName>
    <definedName name="Result_SubawardBase_Y5_4">Calc!$H$11</definedName>
    <definedName name="Result_SubawardBase_Y5_5">Calc!$H$12</definedName>
    <definedName name="Result_SubawardBase_Y5_TOTAL">Calc!$H$14</definedName>
    <definedName name="Result_SubawardBase_Y6_1">Calc!$I$8</definedName>
    <definedName name="Result_SubawardBase_Y6_2">Calc!$I$9</definedName>
    <definedName name="Result_SubawardBase_Y6_3">Calc!$I$10</definedName>
    <definedName name="Result_SubawardBase_Y6_4">Calc!$I$11</definedName>
    <definedName name="Result_SubawardBase_Y6_5">Calc!$I$12</definedName>
    <definedName name="Result_SubawardBase_Y6_TOTAL">Calc!$I$14</definedName>
    <definedName name="Result_SubawardCosts_NonUW_Y1">SUM('Budget Period 1'!$AK$103:$AN$107)</definedName>
    <definedName name="Result_SubawardCosts_NonUW_Y2">SUM('Budget Period 2'!$AK$103:$AN$107)</definedName>
    <definedName name="Result_SubawardCosts_NonUW_Y3">SUM('Budget Period 3'!$AK$103:$AN$107)</definedName>
    <definedName name="Result_SubawardCosts_NonUW_Y4">SUM('Budget Period 4'!$AK$103:$AN$107)</definedName>
    <definedName name="Result_SubawardCosts_NonUW_Y5">SUM('Budget Period 5'!$AK$103:$AN$107)</definedName>
    <definedName name="Result_SubawardCosts_NonUW_Y6">SUM('Budget Period 6'!$AK$103:$AN$107)</definedName>
    <definedName name="Result_SubawardCosts_UW_Y1">SUM('Budget Period 1'!$AK$109:$AN$113)</definedName>
    <definedName name="Result_SubawardCosts_UW_Y2">SUM('Budget Period 2'!$AK$109:$AN$113)</definedName>
    <definedName name="Result_SubawardCosts_UW_Y3">SUM('Budget Period 3'!$AK$109:$AN$113)</definedName>
    <definedName name="Result_SubawardCosts_UW_Y4">SUM('Budget Period 4'!$AK$109:$AN$113)</definedName>
    <definedName name="Result_SubawardCosts_UW_Y5">SUM('Budget Period 5'!$AK$109:$AN$113)</definedName>
    <definedName name="Result_SubawardCosts_UW_Y6">SUM('Budget Period 6'!$AK$109:$AN$113)</definedName>
    <definedName name="Result_SubawardCosts_Y1">'Budget Period 1'!$AP$114</definedName>
    <definedName name="Result_SubawardCosts_Y2">'Budget Period 2'!$AP$114</definedName>
    <definedName name="Result_SubawardCosts_Y3">'Budget Period 3'!$AP$114</definedName>
    <definedName name="Result_SubawardCosts_Y4">'Budget Period 4'!$AP$114</definedName>
    <definedName name="Result_SubawardCosts_Y5">'Budget Period 5'!$AP$114</definedName>
    <definedName name="Result_SubawardCosts_Y6">'Budget Period 6'!$AP$114</definedName>
    <definedName name="Result_TotalDirectCosts_Y1">'Budget Period 1'!$AP$139</definedName>
    <definedName name="Result_TotalDirectCosts_Y2">'Budget Period 2'!$AP$139</definedName>
    <definedName name="Result_TotalDirectCosts_Y3">'Budget Period 3'!$AP$139</definedName>
    <definedName name="Result_TotalDirectCosts_Y4">'Budget Period 4'!$AP$139</definedName>
    <definedName name="Result_TotalDirectCosts_Y5">'Budget Period 5'!$AP$139</definedName>
    <definedName name="Result_TotalDirectCosts_Y6">'Budget Period 6'!$AP$139</definedName>
    <definedName name="Result_TravelDomestic_Y1">'Budget Period 1'!$AP$86</definedName>
    <definedName name="Result_TravelDomestic_Y2">'Budget Period 2'!$AP$86</definedName>
    <definedName name="Result_TravelDomestic_Y3">'Budget Period 3'!$AP$86</definedName>
    <definedName name="Result_TravelDomestic_Y4">'Budget Period 4'!$AP$86</definedName>
    <definedName name="Result_TravelDomestic_Y5">'Budget Period 5'!$AP$86</definedName>
    <definedName name="Result_TravelDomestic_Y6">'Budget Period 6'!$AP$86</definedName>
    <definedName name="Result_TravelForeign_Y1">'Budget Period 1'!$AP$87</definedName>
    <definedName name="Result_TravelForeign_Y2">'Budget Period 2'!$AP$87</definedName>
    <definedName name="Result_TravelForeign_Y3">'Budget Period 3'!$AP$87</definedName>
    <definedName name="Result_TravelForeign_Y4">'Budget Period 4'!$AP$87</definedName>
    <definedName name="Result_TravelForeign_Y5">'Budget Period 5'!$AP$87</definedName>
    <definedName name="Result_TravelForeign_Y6">'Budget Period 6'!$AP$87</definedName>
    <definedName name="Result_TravelTotal_Y1">'Budget Period 1'!$T$137</definedName>
    <definedName name="Result_TravelTotal_Y2">'Budget Period 2'!$T$137</definedName>
    <definedName name="Result_TravelTotal_Y3">'Budget Period 3'!$T$137</definedName>
    <definedName name="Result_TravelTotal_Y4">'Budget Period 4'!$T$137</definedName>
    <definedName name="Result_TravelTotal_Y5">'Budget Period 5'!$T$137</definedName>
    <definedName name="Result_TravelTotal_Y6">'Budget Period 6'!$T$137</definedName>
    <definedName name="Result_Tuition_Y1">'Budget Period 1'!$AF$42</definedName>
    <definedName name="Result_Tuition_Y2">'Budget Period 2'!$AF$42</definedName>
    <definedName name="Result_Tuition_Y3">'Budget Period 3'!$AF$42</definedName>
    <definedName name="Result_Tuition_Y4">'Budget Period 4'!$AF$42</definedName>
    <definedName name="Result_Tuition_Y5">'Budget Period 5'!$AF$42</definedName>
    <definedName name="Result_Tuition_Y6">'Budget Period 6'!$AF$42</definedName>
    <definedName name="Result_TuitionTOTAL_Y1">'Budget Period 1'!$AK$125</definedName>
    <definedName name="Result_TuitionTOTAL_Y2">'Budget Period 2'!$AK$125</definedName>
    <definedName name="Result_TuitionTOTAL_Y3">'Budget Period 3'!$AK$125</definedName>
    <definedName name="Result_TuitionTOTAL_Y4">'Budget Period 4'!$AK$125</definedName>
    <definedName name="Result_TuitionTOTAL_Y5">'Budget Period 5'!$AK$125</definedName>
    <definedName name="Result_TuitionTOTAL_Y6">'Budget Period 6'!$AK$125</definedName>
    <definedName name="Salary_MinimumFLSAPostDoc_Academic_Y1">Rates!$H$102</definedName>
    <definedName name="Salary_MinimumFLSAPostDoc_Academic_Y2">Rates!$I$102</definedName>
    <definedName name="Salary_MinimumFLSAPostDoc_Academic_Y3">Rates!$J$102</definedName>
    <definedName name="Salary_MinimumFLSAPostDoc_Academic_Y4">Rates!$K$102</definedName>
    <definedName name="Salary_MinimumFLSAPostDoc_Academic_Y5">Rates!$L$102</definedName>
    <definedName name="Salary_MinimumFLSAPostDoc_Academic_Y6">Rates!$M$102</definedName>
    <definedName name="Salary_MinimumFLSAPostDoc_Annual_Y1">Rates!$H$103</definedName>
    <definedName name="Salary_MinimumFLSAPostDoc_Annual_Y2">Rates!$I$103</definedName>
    <definedName name="Salary_MinimumFLSAPostDoc_Annual_Y3">Rates!$J$103</definedName>
    <definedName name="Salary_MinimumFLSAPostDoc_Annual_Y4">Rates!$K$103</definedName>
    <definedName name="Salary_MinimumFLSAPostDoc_Annual_Y5">Rates!$L$103</definedName>
    <definedName name="Salary_MinimumFLSAPostDoc_Annual_Y6">Rates!$M$103</definedName>
    <definedName name="Stipend_Y1_PA_Doc_Academic_33">Rates!$H$85</definedName>
    <definedName name="Stipend_Y1_PA_Doc_Academic_50">Rates!$H$84</definedName>
    <definedName name="Stipend_Y1_PA_Doc_Annual_33">Rates!$H$83</definedName>
    <definedName name="Stipend_Y1_PA_Doc_Annual_50">Rates!$H$82</definedName>
    <definedName name="Stipend_Y1_PA_NonDoc_Academic_33">Rates!$H$89</definedName>
    <definedName name="Stipend_Y1_PA_NonDoc_Academic_50">Rates!$H$88</definedName>
    <definedName name="Stipend_Y1_PA_NonDoc_Annual_33">Rates!$H$87</definedName>
    <definedName name="Stipend_Y1_PA_NonDoc_Annual_50">Rates!$H$86</definedName>
    <definedName name="Stipend_Y2_PA_Doc_Academic_33">Rates!$I$85</definedName>
    <definedName name="Stipend_Y2_PA_Doc_Academic_50">Rates!$I$84</definedName>
    <definedName name="Stipend_Y2_PA_Doc_Annual_33">Rates!$I$83</definedName>
    <definedName name="Stipend_Y2_PA_Doc_Annual_50">Rates!$I$82</definedName>
    <definedName name="Stipend_Y2_PA_NonDoc_Academic_33">Rates!$I$89</definedName>
    <definedName name="Stipend_Y2_PA_NonDoc_Academic_50">Rates!$I$88</definedName>
    <definedName name="Stipend_Y2_PA_NonDoc_Annual_33">Rates!$I$87</definedName>
    <definedName name="Stipend_Y2_PA_NonDoc_Annual_50">Rates!$I$86</definedName>
    <definedName name="Stipend_Y3_PA_Doc_Academic_33">Rates!$J$85</definedName>
    <definedName name="Stipend_Y3_PA_Doc_Academic_50">Rates!$J$84</definedName>
    <definedName name="Stipend_Y3_PA_Doc_Annual_33">Rates!$J$83</definedName>
    <definedName name="Stipend_Y3_PA_Doc_Annual_50">Rates!$J$82</definedName>
    <definedName name="Stipend_Y3_PA_NonDoc_Academic_33">Rates!$J$89</definedName>
    <definedName name="Stipend_Y3_PA_NonDoc_Academic_50">Rates!$J$88</definedName>
    <definedName name="Stipend_Y3_PA_NonDoc_Annual_33">Rates!$J$87</definedName>
    <definedName name="Stipend_Y3_PA_NonDoc_Annual_50">Rates!$J$86</definedName>
    <definedName name="Stipend_Y4_PA_Doc_Academic_33">Rates!$K$85</definedName>
    <definedName name="Stipend_Y4_PA_Doc_Academic_50">Rates!$K$84</definedName>
    <definedName name="Stipend_Y4_PA_Doc_Annual_33">Rates!$K$83</definedName>
    <definedName name="Stipend_Y4_PA_Doc_Annual_50">Rates!$K$82</definedName>
    <definedName name="Stipend_Y4_PA_NonDoc_Academic_33">Rates!$K$89</definedName>
    <definedName name="Stipend_Y4_PA_NonDoc_Academic_50">Rates!$K$88</definedName>
    <definedName name="Stipend_Y4_PA_NonDoc_Annual_33">Rates!$K$87</definedName>
    <definedName name="Stipend_Y4_PA_NonDoc_Annual_50">Rates!$K$86</definedName>
    <definedName name="Stipend_Y5_PA_Doc_Academic_33">Rates!$L$85</definedName>
    <definedName name="Stipend_Y5_PA_Doc_Academic_50">Rates!$L$84</definedName>
    <definedName name="Stipend_Y5_PA_Doc_Annual_33">Rates!$L$83</definedName>
    <definedName name="Stipend_Y5_PA_Doc_Annual_50">Rates!$L$82</definedName>
    <definedName name="Stipend_Y5_PA_NonDoc_Academic_33">Rates!$L$89</definedName>
    <definedName name="Stipend_Y5_PA_NonDoc_Academic_50">Rates!$L$88</definedName>
    <definedName name="Stipend_Y5_PA_NonDoc_Annual_33">Rates!$L$87</definedName>
    <definedName name="Stipend_Y5_PA_NonDoc_Annual_50">Rates!$L$86</definedName>
    <definedName name="Stipend_Y6_PA_Doc_Academic_33">Rates!$M$85</definedName>
    <definedName name="Stipend_Y6_PA_Doc_Academic_50">Rates!$M$84</definedName>
    <definedName name="Stipend_Y6_PA_Doc_Annual_33">Rates!$M$83</definedName>
    <definedName name="Stipend_Y6_PA_Doc_Annual_50">Rates!$M$82</definedName>
    <definedName name="Stipend_Y6_PA_NonDoc_Academic_33">Rates!$M$89</definedName>
    <definedName name="Stipend_Y6_PA_NonDoc_Academic_50">Rates!$M$88</definedName>
    <definedName name="Stipend_Y6_PA_NonDoc_Annual_33">Rates!$M$87</definedName>
    <definedName name="Stipend_Y6_PA_NonDoc_Annual_50">Rates!$M$86</definedName>
    <definedName name="Tuition_Y1_Academic_OldMethod">Rates!#REF!</definedName>
    <definedName name="Tuition_Y1_Annual_OldMethod">Rates!#REF!</definedName>
    <definedName name="Tuition_Y1_PercentIncrease">Rates!$E$57</definedName>
    <definedName name="Tuition_Y2_Academic">Rates!#REF!</definedName>
    <definedName name="Tuition_Y2_Annual">Rates!#REF!</definedName>
    <definedName name="Tuition_Y2_PercentIncrease">Rates!$H$57</definedName>
    <definedName name="Tuition_Y3_Academic">Rates!#REF!</definedName>
    <definedName name="Tuition_Y3_Annual">Rates!#REF!</definedName>
    <definedName name="Tuition_Y3_PercentIncrease">Rates!$L$57</definedName>
    <definedName name="Tuition_Y4_Academic">Rates!#REF!</definedName>
    <definedName name="Tuition_Y4_Annual">Rates!#REF!</definedName>
    <definedName name="Tuition_Y5_Academic">Rates!#REF!</definedName>
    <definedName name="Tuition_Y5_Annual">Rates!#REF!</definedName>
    <definedName name="Tuition_Y6_Academic">Rates!#REF!</definedName>
    <definedName name="Tuition_Y6_Annual">Rates!#REF!</definedName>
    <definedName name="TuitionRemission_GradAssistants_Y1">Rates!$H$63</definedName>
    <definedName name="TuitionRemission_GradAssistants_Y2">Rates!$I$63</definedName>
    <definedName name="TuitionRemission_GradAssistants_Y3">Rates!$J$63</definedName>
    <definedName name="TuitionRemission_GradAssistants_Y4">Rates!$K$63</definedName>
    <definedName name="TuitionRemission_GradAssistants_Y5">Rates!$L$63</definedName>
    <definedName name="TuitionRemission_GradAssistants_Y6">Rates!$M$63</definedName>
    <definedName name="Var_EarliestProjectStartDate">Rates!$D$13</definedName>
    <definedName name="Var_FiscalYearCrossover">Rates!$L$11</definedName>
    <definedName name="Var_FiscalYearCrossoverDate">Rates!$D$15</definedName>
    <definedName name="Var_FiscalYearStartDate">Rates!$D$12</definedName>
    <definedName name="Var_Index_RABaseStipend">'Drop-Down_Options'!$J$7:$J$53</definedName>
    <definedName name="Var_IndirectMaximum">Calc!$H$5</definedName>
    <definedName name="Var_LatestProjectStartDate">Rates!$D$14</definedName>
    <definedName name="Var_Module_Increment">'Drop-Down_Options'!$C$78</definedName>
    <definedName name="Var_NRTRRate">Rates!$M$109</definedName>
    <definedName name="Var_PA_Doc_BaseStipend_Acad50Percent">Rates!$G$84</definedName>
    <definedName name="Var_PA_NonDoc_BaseStipend_Acad50Percent">Rates!$G$88</definedName>
    <definedName name="Var_PAStipendFirstYearPercentageIncrease">Rates!$K$71</definedName>
    <definedName name="Var_PAStipendStartDatePercentageIncrease">Rates!$K$73</definedName>
    <definedName name="Var_PAStipendSubsequentYearPercentageIncrease">Rates!$K$72</definedName>
    <definedName name="Var_PersonHoursPerMonth">Rates!$M$107</definedName>
    <definedName name="Var_RAStipendFirstYearPercentageIncrease">Rates!$F$71</definedName>
    <definedName name="Var_RAStipendStartDatePercentageIncrease">Rates!$F$73</definedName>
    <definedName name="Var_RAStipendSubsequentYearPercentageIncrease">Rates!$F$72</definedName>
    <definedName name="Var_SpreadsheetRevisionDate">'Project Data'!$S$3</definedName>
    <definedName name="Var_TuitionCalcCutoverDate">Rates!$E$59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5" i="5" l="1"/>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M111" i="5"/>
  <c r="X29" i="17" l="1"/>
  <c r="U29" i="17"/>
  <c r="R29" i="17"/>
  <c r="O29" i="17"/>
  <c r="L29" i="17"/>
  <c r="I29" i="17"/>
  <c r="T56" i="10"/>
  <c r="G117" i="5"/>
  <c r="C117" i="5"/>
  <c r="J28" i="5"/>
  <c r="K28" i="5"/>
  <c r="L28" i="5"/>
  <c r="M28" i="5"/>
  <c r="I28" i="5"/>
  <c r="M77" i="5" l="1"/>
  <c r="L77" i="5"/>
  <c r="K77" i="5"/>
  <c r="J77" i="5"/>
  <c r="I77" i="5"/>
  <c r="O38" i="20" l="1"/>
  <c r="U37" i="10" l="1"/>
  <c r="AI37" i="14" l="1"/>
  <c r="AI38" i="14"/>
  <c r="AI39" i="14"/>
  <c r="AI40" i="14"/>
  <c r="AF37" i="14"/>
  <c r="AF38" i="14"/>
  <c r="AF39" i="14"/>
  <c r="AF40" i="14"/>
  <c r="AF36" i="14"/>
  <c r="AI37" i="13"/>
  <c r="AI38" i="13"/>
  <c r="AI39" i="13"/>
  <c r="AI40" i="13"/>
  <c r="AF37" i="13"/>
  <c r="AF38" i="13"/>
  <c r="AF39" i="13"/>
  <c r="AF40" i="13"/>
  <c r="AF36" i="13"/>
  <c r="AI37" i="12"/>
  <c r="AI38" i="12"/>
  <c r="AI39" i="12"/>
  <c r="AI40" i="12"/>
  <c r="AF37" i="12"/>
  <c r="AF38" i="12"/>
  <c r="AF39" i="12"/>
  <c r="AF40" i="12"/>
  <c r="AF36" i="12"/>
  <c r="AI37" i="7"/>
  <c r="AI39" i="7"/>
  <c r="AF37" i="7"/>
  <c r="AF38" i="7"/>
  <c r="AF39" i="7"/>
  <c r="AF40" i="7"/>
  <c r="AF36" i="7"/>
  <c r="AI37" i="4" l="1"/>
  <c r="AI38" i="4"/>
  <c r="AI39" i="4"/>
  <c r="AF37" i="4"/>
  <c r="AF38" i="4"/>
  <c r="AF39" i="4"/>
  <c r="AF40" i="4"/>
  <c r="AI39" i="6"/>
  <c r="AI40" i="6"/>
  <c r="AF39" i="6"/>
  <c r="AF40" i="6"/>
  <c r="AI38" i="6"/>
  <c r="AF38" i="6"/>
  <c r="AI37" i="6"/>
  <c r="AF37" i="6"/>
  <c r="I22" i="1" l="1"/>
  <c r="G99" i="5"/>
  <c r="G75" i="5"/>
  <c r="G60" i="5"/>
  <c r="G44" i="5"/>
  <c r="J46" i="5" l="1"/>
  <c r="K46" i="5"/>
  <c r="L46" i="5"/>
  <c r="M46" i="5"/>
  <c r="I46" i="5"/>
  <c r="K62" i="5" l="1"/>
  <c r="L62" i="5"/>
  <c r="M62" i="5"/>
  <c r="J62" i="5"/>
  <c r="L101" i="5" l="1"/>
  <c r="K101" i="5" l="1"/>
  <c r="J101" i="5"/>
  <c r="I101" i="5"/>
  <c r="M101" i="5"/>
  <c r="G26" i="5"/>
  <c r="O39" i="20" l="1"/>
  <c r="G84" i="2" l="1"/>
  <c r="H84" i="2" s="1"/>
  <c r="I84" i="2" s="1"/>
  <c r="J84" i="2" s="1"/>
  <c r="K84" i="2" s="1"/>
  <c r="L84" i="2" s="1"/>
  <c r="M84" i="2" s="1"/>
  <c r="G83" i="2"/>
  <c r="H83" i="2" s="1"/>
  <c r="I83" i="2" s="1"/>
  <c r="J83" i="2" s="1"/>
  <c r="K83" i="2" s="1"/>
  <c r="L83" i="2" s="1"/>
  <c r="M83" i="2" s="1"/>
  <c r="G82" i="2"/>
  <c r="H82" i="2" s="1"/>
  <c r="I82" i="2" s="1"/>
  <c r="J82" i="2" s="1"/>
  <c r="K82" i="2" s="1"/>
  <c r="L82" i="2" s="1"/>
  <c r="M82" i="2" s="1"/>
  <c r="G81" i="2"/>
  <c r="H81" i="2" s="1"/>
  <c r="I81" i="2" s="1"/>
  <c r="J81" i="2" s="1"/>
  <c r="K81" i="2" s="1"/>
  <c r="L81" i="2" s="1"/>
  <c r="M81" i="2" s="1"/>
  <c r="G80" i="2"/>
  <c r="H80" i="2" s="1"/>
  <c r="I80" i="2" s="1"/>
  <c r="J80" i="2" s="1"/>
  <c r="K80" i="2" s="1"/>
  <c r="L80" i="2" s="1"/>
  <c r="M80" i="2" s="1"/>
  <c r="AI36" i="14" s="1"/>
  <c r="G79" i="2"/>
  <c r="H79" i="2" s="1"/>
  <c r="I79" i="2" s="1"/>
  <c r="J79" i="2" s="1"/>
  <c r="K79" i="2" s="1"/>
  <c r="L79" i="2" s="1"/>
  <c r="M79" i="2" s="1"/>
  <c r="G78" i="2"/>
  <c r="H78" i="2" s="1"/>
  <c r="I78" i="2" s="1"/>
  <c r="J78" i="2" s="1"/>
  <c r="K78" i="2" s="1"/>
  <c r="L78" i="2" s="1"/>
  <c r="M78" i="2" s="1"/>
  <c r="G77" i="2"/>
  <c r="H77" i="2" s="1"/>
  <c r="I77" i="2" s="1"/>
  <c r="J77" i="2" s="1"/>
  <c r="K77" i="2" s="1"/>
  <c r="L77" i="2" s="1"/>
  <c r="M77" i="2" s="1"/>
  <c r="G76" i="2"/>
  <c r="H76" i="2" s="1"/>
  <c r="I76" i="2" s="1"/>
  <c r="J76" i="2" s="1"/>
  <c r="K76" i="2" s="1"/>
  <c r="L76" i="2" s="1"/>
  <c r="M76" i="2" s="1"/>
  <c r="G75" i="2"/>
  <c r="H75" i="2" s="1"/>
  <c r="I75" i="2" s="1"/>
  <c r="J75" i="2" s="1"/>
  <c r="K75" i="2" s="1"/>
  <c r="L75" i="2" s="1"/>
  <c r="G74" i="2"/>
  <c r="H74" i="2" s="1"/>
  <c r="I74" i="2" s="1"/>
  <c r="J74" i="2" s="1"/>
  <c r="K74" i="2" s="1"/>
  <c r="L74" i="2" s="1"/>
  <c r="M74" i="2" s="1"/>
  <c r="G73" i="2"/>
  <c r="H73" i="2" s="1"/>
  <c r="I73" i="2" s="1"/>
  <c r="J73" i="2" s="1"/>
  <c r="K73" i="2" s="1"/>
  <c r="L73" i="2" s="1"/>
  <c r="M73" i="2" s="1"/>
  <c r="G72" i="2"/>
  <c r="H72" i="2" s="1"/>
  <c r="I72" i="2" s="1"/>
  <c r="J72" i="2" s="1"/>
  <c r="K72" i="2" s="1"/>
  <c r="L72" i="2" s="1"/>
  <c r="M72" i="2" s="1"/>
  <c r="G71" i="2"/>
  <c r="H71" i="2" s="1"/>
  <c r="I71" i="2" s="1"/>
  <c r="J71" i="2" s="1"/>
  <c r="K71" i="2" s="1"/>
  <c r="L71" i="2" s="1"/>
  <c r="M71" i="2" s="1"/>
  <c r="G70" i="2"/>
  <c r="H70" i="2" s="1"/>
  <c r="I70" i="2" s="1"/>
  <c r="J70" i="2" s="1"/>
  <c r="K70" i="2" s="1"/>
  <c r="G69" i="2"/>
  <c r="H69" i="2" s="1"/>
  <c r="I69" i="2" s="1"/>
  <c r="J69" i="2" s="1"/>
  <c r="G68" i="2"/>
  <c r="H68" i="2" s="1"/>
  <c r="I68" i="2" s="1"/>
  <c r="J68" i="2" s="1"/>
  <c r="K68" i="2" s="1"/>
  <c r="L68" i="2" s="1"/>
  <c r="M68" i="2" s="1"/>
  <c r="G67" i="2"/>
  <c r="H67" i="2" s="1"/>
  <c r="I67" i="2" s="1"/>
  <c r="J67" i="2" s="1"/>
  <c r="G66" i="2"/>
  <c r="H66" i="2" s="1"/>
  <c r="I66" i="2" s="1"/>
  <c r="J66" i="2" s="1"/>
  <c r="K66" i="2" s="1"/>
  <c r="L66" i="2" s="1"/>
  <c r="M66" i="2" s="1"/>
  <c r="G65" i="2"/>
  <c r="H65" i="2" s="1"/>
  <c r="I65" i="2" s="1"/>
  <c r="J65" i="2" s="1"/>
  <c r="G64" i="2"/>
  <c r="H64" i="2" s="1"/>
  <c r="I64" i="2" s="1"/>
  <c r="G63" i="2"/>
  <c r="H63" i="2" s="1"/>
  <c r="I63" i="2" s="1"/>
  <c r="G62" i="2"/>
  <c r="H62" i="2" s="1"/>
  <c r="I62" i="2" s="1"/>
  <c r="G61" i="2"/>
  <c r="H61" i="2" s="1"/>
  <c r="I61" i="2" s="1"/>
  <c r="G60" i="2"/>
  <c r="G59" i="2"/>
  <c r="H59" i="2" s="1"/>
  <c r="AI40" i="4" s="1"/>
  <c r="G58" i="2"/>
  <c r="H58" i="2" s="1"/>
  <c r="G57" i="2"/>
  <c r="H57" i="2" s="1"/>
  <c r="G56" i="2"/>
  <c r="G55" i="2"/>
  <c r="G118" i="5"/>
  <c r="G119" i="5"/>
  <c r="G120" i="5"/>
  <c r="G121" i="5"/>
  <c r="G122" i="5"/>
  <c r="G123" i="5"/>
  <c r="G124" i="5"/>
  <c r="C118" i="5"/>
  <c r="C119" i="5"/>
  <c r="C120" i="5"/>
  <c r="C121" i="5"/>
  <c r="C122" i="5"/>
  <c r="C123" i="5"/>
  <c r="C124" i="5"/>
  <c r="AR3" i="4"/>
  <c r="V3" i="20"/>
  <c r="R3" i="19"/>
  <c r="AB3" i="17"/>
  <c r="Z3" i="10"/>
  <c r="W3" i="20"/>
  <c r="S3" i="19"/>
  <c r="AC3" i="17"/>
  <c r="AA3" i="10"/>
  <c r="AR3" i="14"/>
  <c r="AR3" i="13"/>
  <c r="AR3" i="12"/>
  <c r="AR3" i="7"/>
  <c r="AR3" i="6"/>
  <c r="H9" i="20"/>
  <c r="V5" i="14"/>
  <c r="V5" i="13"/>
  <c r="V5" i="12"/>
  <c r="V5" i="7"/>
  <c r="V5" i="6"/>
  <c r="V5" i="4"/>
  <c r="N5" i="19"/>
  <c r="N4" i="19"/>
  <c r="V6" i="14"/>
  <c r="AG5" i="14"/>
  <c r="V6" i="13"/>
  <c r="AG5" i="13"/>
  <c r="V6" i="12"/>
  <c r="AG5" i="12"/>
  <c r="V6" i="7"/>
  <c r="AG5" i="7"/>
  <c r="V6" i="6"/>
  <c r="AG5" i="6"/>
  <c r="AG5" i="4"/>
  <c r="V6" i="4"/>
  <c r="I48" i="19"/>
  <c r="M48" i="19" s="1"/>
  <c r="I47" i="19"/>
  <c r="M47" i="19" s="1"/>
  <c r="I46" i="19"/>
  <c r="M46" i="19" s="1"/>
  <c r="I45" i="19"/>
  <c r="M45" i="19" s="1"/>
  <c r="I63" i="19"/>
  <c r="M63" i="19" s="1"/>
  <c r="I64" i="19"/>
  <c r="M64" i="19" s="1"/>
  <c r="I65" i="19"/>
  <c r="M65" i="19" s="1"/>
  <c r="I66" i="19"/>
  <c r="M66" i="19" s="1"/>
  <c r="I62" i="19"/>
  <c r="M62" i="19" s="1"/>
  <c r="I61" i="19"/>
  <c r="M61" i="19" s="1"/>
  <c r="I60" i="19"/>
  <c r="M60" i="19" s="1"/>
  <c r="I59" i="19"/>
  <c r="M59" i="19" s="1"/>
  <c r="I58" i="19"/>
  <c r="M58" i="19" s="1"/>
  <c r="I57" i="19"/>
  <c r="M57" i="19" s="1"/>
  <c r="D58" i="19"/>
  <c r="D59" i="19"/>
  <c r="D60" i="19"/>
  <c r="D61" i="19"/>
  <c r="D57" i="19"/>
  <c r="D63" i="19"/>
  <c r="D64" i="19"/>
  <c r="D65" i="19"/>
  <c r="D66" i="19"/>
  <c r="D62" i="19"/>
  <c r="D50" i="19"/>
  <c r="D51" i="19"/>
  <c r="D52" i="19"/>
  <c r="D53" i="19"/>
  <c r="D49" i="19"/>
  <c r="D45" i="19"/>
  <c r="D46" i="19"/>
  <c r="D47" i="19"/>
  <c r="D48" i="19"/>
  <c r="D44" i="19"/>
  <c r="N48" i="19"/>
  <c r="R48" i="19" s="1"/>
  <c r="N47" i="19"/>
  <c r="R47" i="19" s="1"/>
  <c r="N46" i="19"/>
  <c r="R46" i="19" s="1"/>
  <c r="N45" i="19"/>
  <c r="R45" i="19" s="1"/>
  <c r="N44" i="19"/>
  <c r="R44" i="19" s="1"/>
  <c r="N49" i="19"/>
  <c r="R49" i="19" s="1"/>
  <c r="N50" i="19"/>
  <c r="R50" i="19" s="1"/>
  <c r="N51" i="19"/>
  <c r="R51" i="19" s="1"/>
  <c r="N52" i="19"/>
  <c r="R52" i="19" s="1"/>
  <c r="N53" i="19"/>
  <c r="R53" i="19" s="1"/>
  <c r="I50" i="19"/>
  <c r="M50" i="19" s="1"/>
  <c r="I51" i="19"/>
  <c r="M51" i="19" s="1"/>
  <c r="I52" i="19"/>
  <c r="M52" i="19" s="1"/>
  <c r="I53" i="19"/>
  <c r="M53" i="19" s="1"/>
  <c r="I49" i="19"/>
  <c r="M49" i="19" s="1"/>
  <c r="I44" i="19"/>
  <c r="M44" i="19" s="1"/>
  <c r="N37" i="19"/>
  <c r="R37" i="19" s="1"/>
  <c r="N38" i="19"/>
  <c r="R38" i="19" s="1"/>
  <c r="N39" i="19"/>
  <c r="R39" i="19" s="1"/>
  <c r="N40" i="19"/>
  <c r="R40" i="19" s="1"/>
  <c r="N36" i="19"/>
  <c r="R36" i="19" s="1"/>
  <c r="N35" i="19"/>
  <c r="R35" i="19" s="1"/>
  <c r="N34" i="19"/>
  <c r="R34" i="19" s="1"/>
  <c r="N33" i="19"/>
  <c r="R33" i="19" s="1"/>
  <c r="N32" i="19"/>
  <c r="R32" i="19" s="1"/>
  <c r="N31" i="19"/>
  <c r="R31" i="19" s="1"/>
  <c r="I37" i="19"/>
  <c r="M37" i="19" s="1"/>
  <c r="I38" i="19"/>
  <c r="M38" i="19" s="1"/>
  <c r="I39" i="19"/>
  <c r="M39" i="19" s="1"/>
  <c r="I40" i="19"/>
  <c r="M40" i="19" s="1"/>
  <c r="I36" i="19"/>
  <c r="M36" i="19" s="1"/>
  <c r="D37" i="19"/>
  <c r="D38" i="19"/>
  <c r="D39" i="19"/>
  <c r="D40" i="19"/>
  <c r="D36" i="19"/>
  <c r="D32" i="19"/>
  <c r="D33" i="19"/>
  <c r="D34" i="19"/>
  <c r="D35" i="19"/>
  <c r="I35" i="19"/>
  <c r="M35" i="19" s="1"/>
  <c r="I34" i="19"/>
  <c r="M34" i="19" s="1"/>
  <c r="I33" i="19"/>
  <c r="M33" i="19" s="1"/>
  <c r="I32" i="19"/>
  <c r="M32" i="19" s="1"/>
  <c r="I31" i="19"/>
  <c r="M31" i="19" s="1"/>
  <c r="D31" i="19"/>
  <c r="R6" i="10"/>
  <c r="R5" i="10"/>
  <c r="J8" i="20"/>
  <c r="F15" i="20"/>
  <c r="O15" i="20"/>
  <c r="F16" i="20"/>
  <c r="O16" i="20"/>
  <c r="F17" i="20"/>
  <c r="O17" i="20"/>
  <c r="F18" i="20"/>
  <c r="O18" i="20"/>
  <c r="F19" i="20"/>
  <c r="O19" i="20"/>
  <c r="F20" i="20"/>
  <c r="O20" i="20"/>
  <c r="F21" i="20"/>
  <c r="O21" i="20"/>
  <c r="F22" i="20"/>
  <c r="O22" i="20"/>
  <c r="J7" i="20"/>
  <c r="J6" i="20"/>
  <c r="B81" i="3"/>
  <c r="B82" i="3" s="1"/>
  <c r="B83" i="3" s="1"/>
  <c r="B84" i="3" s="1"/>
  <c r="B85" i="3" s="1"/>
  <c r="B86" i="3" s="1"/>
  <c r="B87" i="3" s="1"/>
  <c r="B88" i="3" s="1"/>
  <c r="B89" i="3" s="1"/>
  <c r="B90" i="3" s="1"/>
  <c r="O34" i="20"/>
  <c r="F34" i="20"/>
  <c r="O33" i="20"/>
  <c r="F33" i="20"/>
  <c r="O32" i="20"/>
  <c r="F32" i="20"/>
  <c r="O31" i="20"/>
  <c r="F31" i="20"/>
  <c r="O30" i="20"/>
  <c r="F30" i="20"/>
  <c r="O29" i="20"/>
  <c r="F29" i="20"/>
  <c r="O28" i="20"/>
  <c r="F28" i="20"/>
  <c r="O27" i="20"/>
  <c r="F27" i="20"/>
  <c r="O26" i="20"/>
  <c r="F26" i="20"/>
  <c r="O25" i="20"/>
  <c r="F25" i="20"/>
  <c r="O24" i="20"/>
  <c r="F24" i="20"/>
  <c r="O23" i="20"/>
  <c r="F23" i="20"/>
  <c r="D8" i="2"/>
  <c r="D9" i="2"/>
  <c r="E9" i="2" s="1"/>
  <c r="F9" i="2" s="1"/>
  <c r="G9" i="2" s="1"/>
  <c r="D10" i="2"/>
  <c r="E10" i="2" s="1"/>
  <c r="D11" i="2"/>
  <c r="E11" i="2" s="1"/>
  <c r="D12" i="2"/>
  <c r="E12" i="2" s="1"/>
  <c r="F6" i="3"/>
  <c r="F14" i="3"/>
  <c r="F48" i="1" s="1"/>
  <c r="F70" i="3"/>
  <c r="L11" i="5"/>
  <c r="L15" i="5"/>
  <c r="U4" i="17"/>
  <c r="U5" i="17"/>
  <c r="I21" i="17"/>
  <c r="L21" i="17"/>
  <c r="O21" i="17"/>
  <c r="R21" i="17"/>
  <c r="U21" i="17"/>
  <c r="X21" i="17"/>
  <c r="I22" i="17"/>
  <c r="L22" i="17"/>
  <c r="O22" i="17"/>
  <c r="R22" i="17"/>
  <c r="U22" i="17"/>
  <c r="X22" i="17"/>
  <c r="I23" i="17"/>
  <c r="L23" i="17"/>
  <c r="O23" i="17"/>
  <c r="R23" i="17"/>
  <c r="U23" i="17"/>
  <c r="X23" i="17"/>
  <c r="I24" i="17"/>
  <c r="L24" i="17"/>
  <c r="O24" i="17"/>
  <c r="R24" i="17"/>
  <c r="U24" i="17"/>
  <c r="X24" i="17"/>
  <c r="I27" i="17"/>
  <c r="L27" i="17"/>
  <c r="O27" i="17"/>
  <c r="R27" i="17"/>
  <c r="U27" i="17"/>
  <c r="X27" i="17"/>
  <c r="I28" i="17"/>
  <c r="L28" i="17"/>
  <c r="O28" i="17"/>
  <c r="R28" i="17"/>
  <c r="U28" i="17"/>
  <c r="X28" i="17"/>
  <c r="I30" i="17"/>
  <c r="L30" i="17"/>
  <c r="O30" i="17"/>
  <c r="R30" i="17"/>
  <c r="U30" i="17"/>
  <c r="X30" i="17"/>
  <c r="I32" i="17"/>
  <c r="L32" i="17"/>
  <c r="O32" i="17"/>
  <c r="R32" i="17"/>
  <c r="U32" i="17"/>
  <c r="X32" i="17"/>
  <c r="F12" i="10"/>
  <c r="L12" i="10"/>
  <c r="R12" i="10"/>
  <c r="F13" i="10"/>
  <c r="L13" i="10"/>
  <c r="O13" i="10"/>
  <c r="R13" i="10"/>
  <c r="U13" i="10"/>
  <c r="F14" i="10"/>
  <c r="L14" i="10"/>
  <c r="O14" i="10"/>
  <c r="R14" i="10"/>
  <c r="U14" i="10"/>
  <c r="F15" i="10"/>
  <c r="L15" i="10"/>
  <c r="O15" i="10"/>
  <c r="R15" i="10"/>
  <c r="U15" i="10"/>
  <c r="F16" i="10"/>
  <c r="L16" i="10"/>
  <c r="O16" i="10"/>
  <c r="R16" i="10"/>
  <c r="U16" i="10"/>
  <c r="F17" i="10"/>
  <c r="L17" i="10"/>
  <c r="O17" i="10"/>
  <c r="R17" i="10"/>
  <c r="U17" i="10"/>
  <c r="F18" i="10"/>
  <c r="L18" i="10"/>
  <c r="O18" i="10"/>
  <c r="R18" i="10"/>
  <c r="U18" i="10"/>
  <c r="F19" i="10"/>
  <c r="L19" i="10"/>
  <c r="O19" i="10"/>
  <c r="R19" i="10"/>
  <c r="U19" i="10"/>
  <c r="F20" i="10"/>
  <c r="L20" i="10"/>
  <c r="O20" i="10"/>
  <c r="R20" i="10"/>
  <c r="U20" i="10"/>
  <c r="F21" i="10"/>
  <c r="L21" i="10"/>
  <c r="O21" i="10"/>
  <c r="R21" i="10"/>
  <c r="U21" i="10"/>
  <c r="F22" i="10"/>
  <c r="L22" i="10"/>
  <c r="O22" i="10"/>
  <c r="R22" i="10"/>
  <c r="U22" i="10"/>
  <c r="F23" i="10"/>
  <c r="L23" i="10"/>
  <c r="O23" i="10"/>
  <c r="R23" i="10"/>
  <c r="U23" i="10"/>
  <c r="F24" i="10"/>
  <c r="L24" i="10"/>
  <c r="O24" i="10"/>
  <c r="R24" i="10"/>
  <c r="U24" i="10"/>
  <c r="F25" i="10"/>
  <c r="L25" i="10"/>
  <c r="O25" i="10"/>
  <c r="R25" i="10"/>
  <c r="U25" i="10"/>
  <c r="F26" i="10"/>
  <c r="L26" i="10"/>
  <c r="O26" i="10"/>
  <c r="R26" i="10"/>
  <c r="U26" i="10"/>
  <c r="F27" i="10"/>
  <c r="L27" i="10"/>
  <c r="O27" i="10"/>
  <c r="R27" i="10"/>
  <c r="U27" i="10"/>
  <c r="F28" i="10"/>
  <c r="L28" i="10"/>
  <c r="O28" i="10"/>
  <c r="R28" i="10"/>
  <c r="U28" i="10"/>
  <c r="F29" i="10"/>
  <c r="L29" i="10"/>
  <c r="O29" i="10"/>
  <c r="R29" i="10"/>
  <c r="U29" i="10"/>
  <c r="F30" i="10"/>
  <c r="L30" i="10"/>
  <c r="O30" i="10"/>
  <c r="R30" i="10"/>
  <c r="U30" i="10"/>
  <c r="F31" i="10"/>
  <c r="L31" i="10"/>
  <c r="O31" i="10"/>
  <c r="R31" i="10"/>
  <c r="U31" i="10"/>
  <c r="U38" i="10"/>
  <c r="T54" i="10"/>
  <c r="T55" i="10"/>
  <c r="T57" i="10"/>
  <c r="T59" i="10"/>
  <c r="AQ3" i="14"/>
  <c r="F11" i="14"/>
  <c r="L11" i="14"/>
  <c r="O11" i="14"/>
  <c r="AG11" i="14"/>
  <c r="F12" i="14"/>
  <c r="L12" i="14"/>
  <c r="O12" i="14"/>
  <c r="AG12" i="14"/>
  <c r="F13" i="14"/>
  <c r="L13" i="14"/>
  <c r="O13" i="14"/>
  <c r="AG13" i="14"/>
  <c r="AI13" i="14"/>
  <c r="AM13" i="14"/>
  <c r="F14" i="14"/>
  <c r="L14" i="14"/>
  <c r="O14" i="14"/>
  <c r="AG14" i="14"/>
  <c r="AI14" i="14"/>
  <c r="AM14" i="14"/>
  <c r="F15" i="14"/>
  <c r="L15" i="14"/>
  <c r="O15" i="14"/>
  <c r="AG15" i="14"/>
  <c r="AI15" i="14"/>
  <c r="AM15" i="14"/>
  <c r="F16" i="14"/>
  <c r="L16" i="14"/>
  <c r="O16" i="14"/>
  <c r="AG16" i="14"/>
  <c r="AI16" i="14"/>
  <c r="AM16" i="14"/>
  <c r="F17" i="14"/>
  <c r="L17" i="14"/>
  <c r="O17" i="14"/>
  <c r="AG17" i="14"/>
  <c r="AI17" i="14"/>
  <c r="AM17" i="14"/>
  <c r="F18" i="14"/>
  <c r="L18" i="14"/>
  <c r="O18" i="14"/>
  <c r="AG18" i="14"/>
  <c r="AI18" i="14"/>
  <c r="AM18" i="14"/>
  <c r="F19" i="14"/>
  <c r="L19" i="14"/>
  <c r="O19" i="14"/>
  <c r="AG19" i="14"/>
  <c r="AI19" i="14"/>
  <c r="AM19" i="14"/>
  <c r="F20" i="14"/>
  <c r="L20" i="14"/>
  <c r="O20" i="14"/>
  <c r="AG20" i="14"/>
  <c r="AI20" i="14"/>
  <c r="AM20" i="14"/>
  <c r="F21" i="14"/>
  <c r="L21" i="14"/>
  <c r="O21" i="14"/>
  <c r="AG21" i="14"/>
  <c r="AI21" i="14"/>
  <c r="AM21" i="14"/>
  <c r="F22" i="14"/>
  <c r="L22" i="14"/>
  <c r="O22" i="14"/>
  <c r="AG22" i="14"/>
  <c r="AI22" i="14"/>
  <c r="AM22" i="14"/>
  <c r="F23" i="14"/>
  <c r="L23" i="14"/>
  <c r="O23" i="14"/>
  <c r="AG23" i="14"/>
  <c r="AI23" i="14"/>
  <c r="AM23" i="14"/>
  <c r="F24" i="14"/>
  <c r="L24" i="14"/>
  <c r="O24" i="14"/>
  <c r="AG24" i="14"/>
  <c r="AI24" i="14"/>
  <c r="AM24" i="14"/>
  <c r="F25" i="14"/>
  <c r="L25" i="14"/>
  <c r="O25" i="14"/>
  <c r="AG25" i="14"/>
  <c r="AI25" i="14"/>
  <c r="AM25" i="14"/>
  <c r="F26" i="14"/>
  <c r="L26" i="14"/>
  <c r="O26" i="14"/>
  <c r="AG26" i="14"/>
  <c r="AI26" i="14"/>
  <c r="AM26" i="14"/>
  <c r="F27" i="14"/>
  <c r="L27" i="14"/>
  <c r="O27" i="14"/>
  <c r="AG27" i="14"/>
  <c r="AI27" i="14"/>
  <c r="AM27" i="14"/>
  <c r="F28" i="14"/>
  <c r="L28" i="14"/>
  <c r="O28" i="14"/>
  <c r="AG28" i="14"/>
  <c r="AI28" i="14"/>
  <c r="AM28" i="14"/>
  <c r="F29" i="14"/>
  <c r="L29" i="14"/>
  <c r="O29" i="14"/>
  <c r="AG29" i="14"/>
  <c r="AM29" i="14"/>
  <c r="F30" i="14"/>
  <c r="L30" i="14"/>
  <c r="O30" i="14"/>
  <c r="AG30" i="14"/>
  <c r="AI30" i="14"/>
  <c r="AM30" i="14"/>
  <c r="AG46" i="14"/>
  <c r="AI46" i="14"/>
  <c r="AG47" i="14"/>
  <c r="AI47" i="14"/>
  <c r="AG48" i="14"/>
  <c r="AI48" i="14"/>
  <c r="AG49" i="14"/>
  <c r="AI49" i="14"/>
  <c r="AG50" i="14"/>
  <c r="AI50" i="14"/>
  <c r="AP66" i="14"/>
  <c r="X18" i="17" s="1"/>
  <c r="AP86" i="14"/>
  <c r="AP87" i="14"/>
  <c r="AP100" i="14"/>
  <c r="Y137" i="14" s="1"/>
  <c r="F103" i="14"/>
  <c r="AG103" i="14"/>
  <c r="F104" i="14"/>
  <c r="AG104" i="14"/>
  <c r="F105" i="14"/>
  <c r="AG105" i="14"/>
  <c r="F106" i="14"/>
  <c r="AG106" i="14"/>
  <c r="F107" i="14"/>
  <c r="AG107" i="14"/>
  <c r="F109" i="14"/>
  <c r="F110" i="14"/>
  <c r="F111" i="14"/>
  <c r="F112" i="14"/>
  <c r="F113" i="14"/>
  <c r="AP114" i="14"/>
  <c r="AD137" i="14" s="1"/>
  <c r="AQ3" i="13"/>
  <c r="F11" i="13"/>
  <c r="L11" i="13"/>
  <c r="O11" i="13"/>
  <c r="AG11" i="13"/>
  <c r="F12" i="13"/>
  <c r="L12" i="13"/>
  <c r="O12" i="13"/>
  <c r="AG12" i="13"/>
  <c r="F13" i="13"/>
  <c r="L13" i="13"/>
  <c r="O13" i="13"/>
  <c r="AG13" i="13"/>
  <c r="AI13" i="13"/>
  <c r="AM13" i="13"/>
  <c r="F14" i="13"/>
  <c r="L14" i="13"/>
  <c r="O14" i="13"/>
  <c r="AG14" i="13"/>
  <c r="AI14" i="13"/>
  <c r="AM14" i="13"/>
  <c r="F15" i="13"/>
  <c r="L15" i="13"/>
  <c r="O15" i="13"/>
  <c r="AG15" i="13"/>
  <c r="AI15" i="13"/>
  <c r="AM15" i="13"/>
  <c r="F16" i="13"/>
  <c r="L16" i="13"/>
  <c r="O16" i="13"/>
  <c r="AG16" i="13"/>
  <c r="AI16" i="13"/>
  <c r="AM16" i="13"/>
  <c r="F17" i="13"/>
  <c r="L17" i="13"/>
  <c r="O17" i="13"/>
  <c r="AG17" i="13"/>
  <c r="AI17" i="13"/>
  <c r="AM17" i="13"/>
  <c r="F18" i="13"/>
  <c r="L18" i="13"/>
  <c r="O18" i="13"/>
  <c r="AG18" i="13"/>
  <c r="AI18" i="13"/>
  <c r="AM18" i="13"/>
  <c r="F19" i="13"/>
  <c r="L19" i="13"/>
  <c r="O19" i="13"/>
  <c r="AG19" i="13"/>
  <c r="AI19" i="13"/>
  <c r="AM19" i="13"/>
  <c r="F20" i="13"/>
  <c r="L20" i="13"/>
  <c r="O20" i="13"/>
  <c r="AG20" i="13"/>
  <c r="AI20" i="13"/>
  <c r="AM20" i="13"/>
  <c r="F21" i="13"/>
  <c r="L21" i="13"/>
  <c r="O21" i="13"/>
  <c r="AG21" i="13"/>
  <c r="AI21" i="13"/>
  <c r="AM21" i="13"/>
  <c r="F22" i="13"/>
  <c r="L22" i="13"/>
  <c r="O22" i="13"/>
  <c r="AG22" i="13"/>
  <c r="AI22" i="13"/>
  <c r="AM22" i="13"/>
  <c r="F23" i="13"/>
  <c r="L23" i="13"/>
  <c r="O23" i="13"/>
  <c r="AG23" i="13"/>
  <c r="AI23" i="13"/>
  <c r="AM23" i="13"/>
  <c r="F24" i="13"/>
  <c r="L24" i="13"/>
  <c r="O24" i="13"/>
  <c r="AG24" i="13"/>
  <c r="AI24" i="13"/>
  <c r="AM24" i="13"/>
  <c r="F25" i="13"/>
  <c r="L25" i="13"/>
  <c r="O25" i="13"/>
  <c r="AG25" i="13"/>
  <c r="AI25" i="13"/>
  <c r="AM25" i="13"/>
  <c r="F26" i="13"/>
  <c r="L26" i="13"/>
  <c r="O26" i="13"/>
  <c r="AG26" i="13"/>
  <c r="AI26" i="13"/>
  <c r="AM26" i="13"/>
  <c r="F27" i="13"/>
  <c r="L27" i="13"/>
  <c r="O27" i="13"/>
  <c r="AG27" i="13"/>
  <c r="AI27" i="13"/>
  <c r="AM27" i="13"/>
  <c r="F28" i="13"/>
  <c r="L28" i="13"/>
  <c r="O28" i="13"/>
  <c r="AG28" i="13"/>
  <c r="AI28" i="13"/>
  <c r="AM28" i="13"/>
  <c r="F29" i="13"/>
  <c r="L29" i="13"/>
  <c r="O29" i="13"/>
  <c r="AG29" i="13"/>
  <c r="AM29" i="13"/>
  <c r="F30" i="13"/>
  <c r="L30" i="13"/>
  <c r="O30" i="13"/>
  <c r="AG30" i="13"/>
  <c r="AI30" i="13"/>
  <c r="AM30" i="13"/>
  <c r="AG46" i="13"/>
  <c r="AI46" i="13"/>
  <c r="AG47" i="13"/>
  <c r="AI47" i="13"/>
  <c r="AG48" i="13"/>
  <c r="AI48" i="13"/>
  <c r="AG49" i="13"/>
  <c r="AI49" i="13"/>
  <c r="AG50" i="13"/>
  <c r="AI50" i="13"/>
  <c r="AP66" i="13"/>
  <c r="U18" i="17" s="1"/>
  <c r="AP86" i="13"/>
  <c r="AP87" i="13"/>
  <c r="AP100" i="13"/>
  <c r="Y137" i="13" s="1"/>
  <c r="F103" i="13"/>
  <c r="AG103" i="13"/>
  <c r="F104" i="13"/>
  <c r="AG104" i="13"/>
  <c r="F105" i="13"/>
  <c r="AG105" i="13"/>
  <c r="F106" i="13"/>
  <c r="AG106" i="13"/>
  <c r="F107" i="13"/>
  <c r="AG107" i="13"/>
  <c r="F109" i="13"/>
  <c r="F110" i="13"/>
  <c r="F111" i="13"/>
  <c r="F112" i="13"/>
  <c r="F113" i="13"/>
  <c r="AP114" i="13"/>
  <c r="U25" i="17" s="1"/>
  <c r="AQ3" i="12"/>
  <c r="F11" i="12"/>
  <c r="L11" i="12"/>
  <c r="O11" i="12"/>
  <c r="AG11" i="12"/>
  <c r="F12" i="12"/>
  <c r="L12" i="12"/>
  <c r="O12" i="12"/>
  <c r="AG12" i="12"/>
  <c r="F13" i="12"/>
  <c r="L13" i="12"/>
  <c r="O13" i="12"/>
  <c r="AG13" i="12"/>
  <c r="AI13" i="12"/>
  <c r="AM13" i="12"/>
  <c r="F14" i="12"/>
  <c r="L14" i="12"/>
  <c r="O14" i="12"/>
  <c r="AG14" i="12"/>
  <c r="AI14" i="12"/>
  <c r="AM14" i="12"/>
  <c r="F15" i="12"/>
  <c r="L15" i="12"/>
  <c r="O15" i="12"/>
  <c r="AG15" i="12"/>
  <c r="AI15" i="12"/>
  <c r="AM15" i="12"/>
  <c r="F16" i="12"/>
  <c r="L16" i="12"/>
  <c r="O16" i="12"/>
  <c r="AG16" i="12"/>
  <c r="AI16" i="12"/>
  <c r="AM16" i="12"/>
  <c r="F17" i="12"/>
  <c r="L17" i="12"/>
  <c r="O17" i="12"/>
  <c r="AG17" i="12"/>
  <c r="AI17" i="12"/>
  <c r="AM17" i="12"/>
  <c r="F18" i="12"/>
  <c r="L18" i="12"/>
  <c r="O18" i="12"/>
  <c r="AG18" i="12"/>
  <c r="AI18" i="12"/>
  <c r="AM18" i="12"/>
  <c r="F19" i="12"/>
  <c r="L19" i="12"/>
  <c r="O19" i="12"/>
  <c r="AG19" i="12"/>
  <c r="AI19" i="12"/>
  <c r="AM19" i="12"/>
  <c r="F20" i="12"/>
  <c r="L20" i="12"/>
  <c r="O20" i="12"/>
  <c r="AG20" i="12"/>
  <c r="AI20" i="12"/>
  <c r="AM20" i="12"/>
  <c r="F21" i="12"/>
  <c r="L21" i="12"/>
  <c r="O21" i="12"/>
  <c r="AG21" i="12"/>
  <c r="AI21" i="12"/>
  <c r="AM21" i="12"/>
  <c r="F22" i="12"/>
  <c r="L22" i="12"/>
  <c r="O22" i="12"/>
  <c r="AG22" i="12"/>
  <c r="AI22" i="12"/>
  <c r="AM22" i="12"/>
  <c r="F23" i="12"/>
  <c r="L23" i="12"/>
  <c r="O23" i="12"/>
  <c r="AG23" i="12"/>
  <c r="AI23" i="12"/>
  <c r="AM23" i="12"/>
  <c r="F24" i="12"/>
  <c r="L24" i="12"/>
  <c r="O24" i="12"/>
  <c r="AG24" i="12"/>
  <c r="AI24" i="12"/>
  <c r="AM24" i="12"/>
  <c r="F25" i="12"/>
  <c r="L25" i="12"/>
  <c r="O25" i="12"/>
  <c r="AG25" i="12"/>
  <c r="AI25" i="12"/>
  <c r="AM25" i="12"/>
  <c r="F26" i="12"/>
  <c r="L26" i="12"/>
  <c r="O26" i="12"/>
  <c r="AG26" i="12"/>
  <c r="AI26" i="12"/>
  <c r="AM26" i="12"/>
  <c r="F27" i="12"/>
  <c r="L27" i="12"/>
  <c r="O27" i="12"/>
  <c r="AG27" i="12"/>
  <c r="AI27" i="12"/>
  <c r="AM27" i="12"/>
  <c r="F28" i="12"/>
  <c r="L28" i="12"/>
  <c r="O28" i="12"/>
  <c r="AG28" i="12"/>
  <c r="AI28" i="12"/>
  <c r="AM28" i="12"/>
  <c r="F29" i="12"/>
  <c r="L29" i="12"/>
  <c r="O29" i="12"/>
  <c r="AG29" i="12"/>
  <c r="AM29" i="12"/>
  <c r="F30" i="12"/>
  <c r="L30" i="12"/>
  <c r="O30" i="12"/>
  <c r="AG30" i="12"/>
  <c r="AI30" i="12"/>
  <c r="AM30" i="12"/>
  <c r="AG46" i="12"/>
  <c r="AI46" i="12"/>
  <c r="AG47" i="12"/>
  <c r="AI47" i="12"/>
  <c r="AG48" i="12"/>
  <c r="AI48" i="12"/>
  <c r="AG49" i="12"/>
  <c r="AI49" i="12"/>
  <c r="AG50" i="12"/>
  <c r="AI50" i="12"/>
  <c r="AP66" i="12"/>
  <c r="R18" i="17" s="1"/>
  <c r="AP86" i="12"/>
  <c r="R19" i="17" s="1"/>
  <c r="AP87" i="12"/>
  <c r="AP100" i="12"/>
  <c r="Y137" i="12" s="1"/>
  <c r="F103" i="12"/>
  <c r="AG103" i="12"/>
  <c r="F104" i="12"/>
  <c r="AG104" i="12"/>
  <c r="F105" i="12"/>
  <c r="AG105" i="12"/>
  <c r="F106" i="12"/>
  <c r="AG106" i="12"/>
  <c r="F107" i="12"/>
  <c r="AG107" i="12"/>
  <c r="F109" i="12"/>
  <c r="F110" i="12"/>
  <c r="F111" i="12"/>
  <c r="F112" i="12"/>
  <c r="F113" i="12"/>
  <c r="AP114" i="12"/>
  <c r="AD137" i="12" s="1"/>
  <c r="AQ3" i="7"/>
  <c r="F11" i="7"/>
  <c r="L11" i="7"/>
  <c r="O11" i="7"/>
  <c r="AG11" i="7"/>
  <c r="F12" i="7"/>
  <c r="L12" i="7"/>
  <c r="O12" i="7"/>
  <c r="AG12" i="7"/>
  <c r="F13" i="7"/>
  <c r="L13" i="7"/>
  <c r="O13" i="7"/>
  <c r="AG13" i="7"/>
  <c r="AI13" i="7"/>
  <c r="AM13" i="7"/>
  <c r="F14" i="7"/>
  <c r="L14" i="7"/>
  <c r="O14" i="7"/>
  <c r="AG14" i="7"/>
  <c r="AI14" i="7"/>
  <c r="AM14" i="7"/>
  <c r="F15" i="7"/>
  <c r="L15" i="7"/>
  <c r="O15" i="7"/>
  <c r="AG15" i="7"/>
  <c r="AI15" i="7"/>
  <c r="AM15" i="7"/>
  <c r="F16" i="7"/>
  <c r="L16" i="7"/>
  <c r="O16" i="7"/>
  <c r="AG16" i="7"/>
  <c r="AI16" i="7"/>
  <c r="AM16" i="7"/>
  <c r="F17" i="7"/>
  <c r="L17" i="7"/>
  <c r="O17" i="7"/>
  <c r="AG17" i="7"/>
  <c r="AI17" i="7"/>
  <c r="AM17" i="7"/>
  <c r="F18" i="7"/>
  <c r="L18" i="7"/>
  <c r="O18" i="7"/>
  <c r="AG18" i="7"/>
  <c r="AI18" i="7"/>
  <c r="AM18" i="7"/>
  <c r="F19" i="7"/>
  <c r="L19" i="7"/>
  <c r="O19" i="7"/>
  <c r="AG19" i="7"/>
  <c r="AI19" i="7"/>
  <c r="AM19" i="7"/>
  <c r="F20" i="7"/>
  <c r="L20" i="7"/>
  <c r="O20" i="7"/>
  <c r="AG20" i="7"/>
  <c r="AI20" i="7"/>
  <c r="AM20" i="7"/>
  <c r="F21" i="7"/>
  <c r="L21" i="7"/>
  <c r="O21" i="7"/>
  <c r="AG21" i="7"/>
  <c r="AI21" i="7"/>
  <c r="AM21" i="7"/>
  <c r="F22" i="7"/>
  <c r="L22" i="7"/>
  <c r="O22" i="7"/>
  <c r="AG22" i="7"/>
  <c r="AI22" i="7"/>
  <c r="AM22" i="7"/>
  <c r="F23" i="7"/>
  <c r="L23" i="7"/>
  <c r="O23" i="7"/>
  <c r="AG23" i="7"/>
  <c r="AI23" i="7"/>
  <c r="AM23" i="7"/>
  <c r="F24" i="7"/>
  <c r="L24" i="7"/>
  <c r="O24" i="7"/>
  <c r="AG24" i="7"/>
  <c r="AI24" i="7"/>
  <c r="AM24" i="7"/>
  <c r="F25" i="7"/>
  <c r="L25" i="7"/>
  <c r="O25" i="7"/>
  <c r="AG25" i="7"/>
  <c r="AI25" i="7"/>
  <c r="AM25" i="7"/>
  <c r="F26" i="7"/>
  <c r="L26" i="7"/>
  <c r="O26" i="7"/>
  <c r="AG26" i="7"/>
  <c r="AI26" i="7"/>
  <c r="AM26" i="7"/>
  <c r="F27" i="7"/>
  <c r="L27" i="7"/>
  <c r="O27" i="7"/>
  <c r="AG27" i="7"/>
  <c r="AI27" i="7"/>
  <c r="AM27" i="7"/>
  <c r="F28" i="7"/>
  <c r="L28" i="7"/>
  <c r="O28" i="7"/>
  <c r="AG28" i="7"/>
  <c r="AI28" i="7"/>
  <c r="AM28" i="7"/>
  <c r="F29" i="7"/>
  <c r="L29" i="7"/>
  <c r="O29" i="7"/>
  <c r="AG29" i="7"/>
  <c r="AM29" i="7"/>
  <c r="F30" i="7"/>
  <c r="L30" i="7"/>
  <c r="O30" i="7"/>
  <c r="AG30" i="7"/>
  <c r="AI30" i="7"/>
  <c r="AM30" i="7"/>
  <c r="AG46" i="7"/>
  <c r="AI46" i="7"/>
  <c r="AG47" i="7"/>
  <c r="AI47" i="7"/>
  <c r="AG48" i="7"/>
  <c r="AI48" i="7"/>
  <c r="AG49" i="7"/>
  <c r="AI49" i="7"/>
  <c r="AG50" i="7"/>
  <c r="AI50" i="7"/>
  <c r="AP66" i="7"/>
  <c r="O18" i="17" s="1"/>
  <c r="AP86" i="7"/>
  <c r="AP87" i="7"/>
  <c r="AP100" i="7"/>
  <c r="Y137" i="7" s="1"/>
  <c r="F103" i="7"/>
  <c r="AG103" i="7"/>
  <c r="F104" i="7"/>
  <c r="AG104" i="7"/>
  <c r="F105" i="7"/>
  <c r="AG105" i="7"/>
  <c r="F106" i="7"/>
  <c r="AG106" i="7"/>
  <c r="F107" i="7"/>
  <c r="AG107" i="7"/>
  <c r="F109" i="7"/>
  <c r="F110" i="7"/>
  <c r="F111" i="7"/>
  <c r="F112" i="7"/>
  <c r="F113" i="7"/>
  <c r="AP114" i="7"/>
  <c r="O25" i="17" s="1"/>
  <c r="AQ3" i="6"/>
  <c r="F11" i="6"/>
  <c r="L11" i="6"/>
  <c r="U11" i="6" s="1"/>
  <c r="O11" i="6"/>
  <c r="AI11" i="14"/>
  <c r="AG11" i="6"/>
  <c r="F12" i="6"/>
  <c r="L12" i="6"/>
  <c r="U12" i="6" s="1"/>
  <c r="U12" i="7" s="1"/>
  <c r="U12" i="12" s="1"/>
  <c r="U12" i="13" s="1"/>
  <c r="U12" i="14" s="1"/>
  <c r="O12" i="6"/>
  <c r="AG12" i="6"/>
  <c r="F13" i="6"/>
  <c r="L13" i="6"/>
  <c r="U13" i="6" s="1"/>
  <c r="O13" i="6"/>
  <c r="AG13" i="6"/>
  <c r="AI13" i="6"/>
  <c r="AM13" i="6"/>
  <c r="F14" i="6"/>
  <c r="L14" i="6"/>
  <c r="U14" i="6" s="1"/>
  <c r="U14" i="7" s="1"/>
  <c r="O14" i="6"/>
  <c r="AG14" i="6"/>
  <c r="AI14" i="6"/>
  <c r="AM14" i="6"/>
  <c r="F15" i="6"/>
  <c r="L15" i="6"/>
  <c r="U15" i="6" s="1"/>
  <c r="U15" i="7" s="1"/>
  <c r="U15" i="12" s="1"/>
  <c r="U15" i="13" s="1"/>
  <c r="U15" i="14" s="1"/>
  <c r="O15" i="6"/>
  <c r="AG15" i="6"/>
  <c r="AI15" i="6"/>
  <c r="AM15" i="6"/>
  <c r="F16" i="6"/>
  <c r="L16" i="6"/>
  <c r="U16" i="6" s="1"/>
  <c r="U16" i="7" s="1"/>
  <c r="O16" i="6"/>
  <c r="AG16" i="6"/>
  <c r="AI16" i="6"/>
  <c r="AM16" i="6"/>
  <c r="F17" i="6"/>
  <c r="L17" i="6"/>
  <c r="U17" i="6" s="1"/>
  <c r="U17" i="7" s="1"/>
  <c r="U17" i="12" s="1"/>
  <c r="U17" i="13" s="1"/>
  <c r="U17" i="14" s="1"/>
  <c r="O17" i="6"/>
  <c r="AG17" i="6"/>
  <c r="AI17" i="6"/>
  <c r="AM17" i="6"/>
  <c r="F18" i="6"/>
  <c r="L18" i="6"/>
  <c r="U18" i="6" s="1"/>
  <c r="U18" i="7" s="1"/>
  <c r="U18" i="12" s="1"/>
  <c r="U18" i="13" s="1"/>
  <c r="U18" i="14" s="1"/>
  <c r="O18" i="6"/>
  <c r="AG18" i="6"/>
  <c r="AI18" i="6"/>
  <c r="AM18" i="6"/>
  <c r="F19" i="6"/>
  <c r="L19" i="6"/>
  <c r="U19" i="6" s="1"/>
  <c r="U19" i="7" s="1"/>
  <c r="U19" i="12" s="1"/>
  <c r="O19" i="6"/>
  <c r="AG19" i="6"/>
  <c r="AI19" i="6"/>
  <c r="AM19" i="6"/>
  <c r="F20" i="6"/>
  <c r="L20" i="6"/>
  <c r="U20" i="6" s="1"/>
  <c r="U20" i="7" s="1"/>
  <c r="U20" i="12" s="1"/>
  <c r="U20" i="13" s="1"/>
  <c r="U20" i="14" s="1"/>
  <c r="O20" i="6"/>
  <c r="AG20" i="6"/>
  <c r="AI20" i="6"/>
  <c r="AM20" i="6"/>
  <c r="F21" i="6"/>
  <c r="L21" i="6"/>
  <c r="U21" i="6" s="1"/>
  <c r="O21" i="6"/>
  <c r="AG21" i="6"/>
  <c r="AI21" i="6"/>
  <c r="AM21" i="6"/>
  <c r="F22" i="6"/>
  <c r="L22" i="6"/>
  <c r="U22" i="6" s="1"/>
  <c r="U22" i="7" s="1"/>
  <c r="U22" i="12" s="1"/>
  <c r="U22" i="13" s="1"/>
  <c r="O22" i="6"/>
  <c r="AG22" i="6"/>
  <c r="AI22" i="6"/>
  <c r="AM22" i="6"/>
  <c r="F23" i="6"/>
  <c r="L23" i="6"/>
  <c r="U23" i="6" s="1"/>
  <c r="U23" i="7" s="1"/>
  <c r="U23" i="12" s="1"/>
  <c r="U23" i="13" s="1"/>
  <c r="U23" i="14" s="1"/>
  <c r="O23" i="6"/>
  <c r="AG23" i="6"/>
  <c r="AI23" i="6"/>
  <c r="AM23" i="6"/>
  <c r="F24" i="6"/>
  <c r="L24" i="6"/>
  <c r="U24" i="6" s="1"/>
  <c r="U24" i="7" s="1"/>
  <c r="O24" i="6"/>
  <c r="AG24" i="6"/>
  <c r="AI24" i="6"/>
  <c r="AM24" i="6"/>
  <c r="F25" i="6"/>
  <c r="L25" i="6"/>
  <c r="U25" i="6" s="1"/>
  <c r="U25" i="7" s="1"/>
  <c r="U25" i="12" s="1"/>
  <c r="U25" i="13" s="1"/>
  <c r="U25" i="14" s="1"/>
  <c r="O25" i="6"/>
  <c r="AG25" i="6"/>
  <c r="AI25" i="6"/>
  <c r="AM25" i="6"/>
  <c r="F26" i="6"/>
  <c r="L26" i="6"/>
  <c r="U26" i="6" s="1"/>
  <c r="U26" i="7" s="1"/>
  <c r="U26" i="12" s="1"/>
  <c r="U26" i="13" s="1"/>
  <c r="U26" i="14" s="1"/>
  <c r="O26" i="6"/>
  <c r="AG26" i="6"/>
  <c r="AI26" i="6"/>
  <c r="AM26" i="6"/>
  <c r="F27" i="6"/>
  <c r="L27" i="6"/>
  <c r="U27" i="6" s="1"/>
  <c r="U27" i="7" s="1"/>
  <c r="U27" i="12" s="1"/>
  <c r="O27" i="6"/>
  <c r="AG27" i="6"/>
  <c r="AI27" i="6"/>
  <c r="AM27" i="6"/>
  <c r="F28" i="6"/>
  <c r="L28" i="6"/>
  <c r="U28" i="6" s="1"/>
  <c r="U28" i="7" s="1"/>
  <c r="U28" i="12" s="1"/>
  <c r="U28" i="13" s="1"/>
  <c r="U28" i="14" s="1"/>
  <c r="O28" i="6"/>
  <c r="AG28" i="6"/>
  <c r="AI28" i="6"/>
  <c r="AM28" i="6"/>
  <c r="F29" i="6"/>
  <c r="L29" i="6"/>
  <c r="U29" i="6" s="1"/>
  <c r="O29" i="6"/>
  <c r="AG29" i="6"/>
  <c r="AI29" i="6"/>
  <c r="AM29" i="6"/>
  <c r="F30" i="6"/>
  <c r="L30" i="6"/>
  <c r="U30" i="6" s="1"/>
  <c r="O30" i="6"/>
  <c r="AG30" i="6"/>
  <c r="AI30" i="6"/>
  <c r="AM30" i="6"/>
  <c r="AG46" i="6"/>
  <c r="AI46" i="6"/>
  <c r="AG47" i="6"/>
  <c r="AI47" i="6"/>
  <c r="AG48" i="6"/>
  <c r="AI48" i="6"/>
  <c r="AG49" i="6"/>
  <c r="AI49" i="6"/>
  <c r="AG50" i="6"/>
  <c r="AI50" i="6"/>
  <c r="AP66" i="6"/>
  <c r="O137" i="6" s="1"/>
  <c r="AP86" i="6"/>
  <c r="AP87" i="6"/>
  <c r="AP100" i="6"/>
  <c r="F103" i="6"/>
  <c r="AG103" i="6"/>
  <c r="F104" i="6"/>
  <c r="AG104" i="6"/>
  <c r="F105" i="6"/>
  <c r="AG105" i="6"/>
  <c r="F106" i="6"/>
  <c r="AG106" i="6"/>
  <c r="F107" i="6"/>
  <c r="AG107" i="6"/>
  <c r="F109" i="6"/>
  <c r="F110" i="6"/>
  <c r="F111" i="6"/>
  <c r="F112" i="6"/>
  <c r="F113" i="6"/>
  <c r="AP114" i="6"/>
  <c r="AD137" i="6" s="1"/>
  <c r="AQ3" i="4"/>
  <c r="AG11" i="4"/>
  <c r="O12" i="10" s="1"/>
  <c r="AI11" i="4"/>
  <c r="AG12" i="4"/>
  <c r="AI12" i="4"/>
  <c r="AG13" i="4"/>
  <c r="AI13" i="4"/>
  <c r="AM13" i="4"/>
  <c r="AG14" i="4"/>
  <c r="AI14" i="4"/>
  <c r="AM14" i="4"/>
  <c r="AG15" i="4"/>
  <c r="AI15" i="4"/>
  <c r="AM15" i="4"/>
  <c r="AG16" i="4"/>
  <c r="AI16" i="4"/>
  <c r="AM16" i="4"/>
  <c r="AG17" i="4"/>
  <c r="AI17" i="4"/>
  <c r="AM17" i="4"/>
  <c r="AG18" i="4"/>
  <c r="AI18" i="4"/>
  <c r="AM18" i="4"/>
  <c r="AG19" i="4"/>
  <c r="AI19" i="4"/>
  <c r="AM19" i="4"/>
  <c r="AG20" i="4"/>
  <c r="AI20" i="4"/>
  <c r="AM20" i="4"/>
  <c r="AG21" i="4"/>
  <c r="AI21" i="4"/>
  <c r="AM21" i="4"/>
  <c r="AG22" i="4"/>
  <c r="AI22" i="4"/>
  <c r="AM22" i="4"/>
  <c r="AG23" i="4"/>
  <c r="AI23" i="4"/>
  <c r="AM23" i="4"/>
  <c r="AG24" i="4"/>
  <c r="AI24" i="4"/>
  <c r="AM24" i="4"/>
  <c r="AG25" i="4"/>
  <c r="AI25" i="4"/>
  <c r="AM25" i="4"/>
  <c r="AG26" i="4"/>
  <c r="AI26" i="4"/>
  <c r="AM26" i="4"/>
  <c r="AG27" i="4"/>
  <c r="AI27" i="4"/>
  <c r="AM27" i="4"/>
  <c r="AG28" i="4"/>
  <c r="AI28" i="4"/>
  <c r="AM28" i="4"/>
  <c r="AG29" i="4"/>
  <c r="AI29" i="4"/>
  <c r="AM29" i="4"/>
  <c r="AG30" i="4"/>
  <c r="AI30" i="4"/>
  <c r="AM30" i="4"/>
  <c r="AG46" i="4"/>
  <c r="AI46" i="4"/>
  <c r="AG47" i="4"/>
  <c r="AI47" i="4"/>
  <c r="AG48" i="4"/>
  <c r="AI48" i="4"/>
  <c r="AG49" i="4"/>
  <c r="AI49" i="4"/>
  <c r="AG50" i="4"/>
  <c r="AI50" i="4"/>
  <c r="AP66" i="4"/>
  <c r="O137" i="4" s="1"/>
  <c r="AP86" i="4"/>
  <c r="AP87" i="4"/>
  <c r="AP100" i="4"/>
  <c r="AP114" i="4"/>
  <c r="Q9" i="20"/>
  <c r="AD137" i="13"/>
  <c r="O137" i="12"/>
  <c r="U30" i="7" l="1"/>
  <c r="U30" i="12" s="1"/>
  <c r="U30" i="13" s="1"/>
  <c r="U30" i="14" s="1"/>
  <c r="U22" i="14"/>
  <c r="U19" i="13"/>
  <c r="U19" i="14" s="1"/>
  <c r="U27" i="13"/>
  <c r="U27" i="14" s="1"/>
  <c r="U16" i="12"/>
  <c r="U16" i="13" s="1"/>
  <c r="U16" i="14" s="1"/>
  <c r="U24" i="12"/>
  <c r="U24" i="13" s="1"/>
  <c r="U24" i="14" s="1"/>
  <c r="U21" i="7"/>
  <c r="U21" i="12" s="1"/>
  <c r="U21" i="13" s="1"/>
  <c r="U21" i="14" s="1"/>
  <c r="U29" i="7"/>
  <c r="U29" i="12" s="1"/>
  <c r="U29" i="13" s="1"/>
  <c r="U29" i="14" s="1"/>
  <c r="U14" i="12"/>
  <c r="U14" i="13" s="1"/>
  <c r="U14" i="14" s="1"/>
  <c r="U13" i="7"/>
  <c r="U13" i="12" s="1"/>
  <c r="U13" i="13" s="1"/>
  <c r="U13" i="14" s="1"/>
  <c r="U11" i="7"/>
  <c r="U11" i="12" s="1"/>
  <c r="U11" i="13" s="1"/>
  <c r="U11" i="14" s="1"/>
  <c r="M47" i="5"/>
  <c r="L47" i="5"/>
  <c r="K47" i="5"/>
  <c r="I47" i="5"/>
  <c r="J47" i="5"/>
  <c r="H47" i="5"/>
  <c r="Y137" i="4"/>
  <c r="U45" i="20"/>
  <c r="N42" i="1"/>
  <c r="Q42" i="1"/>
  <c r="M42" i="1"/>
  <c r="O42" i="1"/>
  <c r="P42" i="1"/>
  <c r="U19" i="17"/>
  <c r="AD137" i="7"/>
  <c r="L25" i="17"/>
  <c r="AO21" i="4"/>
  <c r="AQ21" i="4" s="1"/>
  <c r="K67" i="2"/>
  <c r="L67" i="2" s="1"/>
  <c r="M67" i="2" s="1"/>
  <c r="AI38" i="7"/>
  <c r="L22" i="5"/>
  <c r="H29" i="5" s="1"/>
  <c r="I29" i="5" s="1"/>
  <c r="J29" i="5" s="1"/>
  <c r="K29" i="5" s="1"/>
  <c r="L29" i="5" s="1"/>
  <c r="M29" i="5" s="1"/>
  <c r="L24" i="5"/>
  <c r="L23" i="5"/>
  <c r="U12" i="10"/>
  <c r="U33" i="10" s="1"/>
  <c r="O137" i="14"/>
  <c r="L18" i="17"/>
  <c r="T137" i="6"/>
  <c r="T137" i="7"/>
  <c r="X19" i="17"/>
  <c r="I18" i="17"/>
  <c r="AB29" i="17"/>
  <c r="AO27" i="4"/>
  <c r="AQ27" i="4" s="1"/>
  <c r="AO19" i="4"/>
  <c r="AQ19" i="4" s="1"/>
  <c r="AB28" i="17"/>
  <c r="AI52" i="7"/>
  <c r="O14" i="17" s="1"/>
  <c r="AI52" i="12"/>
  <c r="R14" i="17" s="1"/>
  <c r="O37" i="20"/>
  <c r="T137" i="14"/>
  <c r="AO25" i="4"/>
  <c r="AQ25" i="4" s="1"/>
  <c r="AO17" i="4"/>
  <c r="AQ17" i="4" s="1"/>
  <c r="M75" i="2"/>
  <c r="AI36" i="13"/>
  <c r="O137" i="13"/>
  <c r="L70" i="2"/>
  <c r="M70" i="2" s="1"/>
  <c r="AI36" i="12"/>
  <c r="R25" i="17"/>
  <c r="T50" i="10"/>
  <c r="K69" i="2"/>
  <c r="L69" i="2" s="1"/>
  <c r="M69" i="2" s="1"/>
  <c r="AI40" i="7"/>
  <c r="K65" i="2"/>
  <c r="L65" i="2" s="1"/>
  <c r="M65" i="2" s="1"/>
  <c r="AI36" i="7"/>
  <c r="O19" i="17"/>
  <c r="AB27" i="17"/>
  <c r="AO23" i="4"/>
  <c r="AQ23" i="4" s="1"/>
  <c r="AO15" i="4"/>
  <c r="AQ15" i="4" s="1"/>
  <c r="T137" i="4"/>
  <c r="T51" i="10"/>
  <c r="Z53" i="10"/>
  <c r="L19" i="17"/>
  <c r="AO27" i="12"/>
  <c r="AQ27" i="12" s="1"/>
  <c r="AO23" i="12"/>
  <c r="AQ23" i="12" s="1"/>
  <c r="AO19" i="12"/>
  <c r="AQ19" i="12" s="1"/>
  <c r="AO15" i="12"/>
  <c r="AQ15" i="12" s="1"/>
  <c r="J64" i="2"/>
  <c r="K64" i="2" s="1"/>
  <c r="L64" i="2" s="1"/>
  <c r="M64" i="2" s="1"/>
  <c r="J63" i="2"/>
  <c r="K63" i="2" s="1"/>
  <c r="L63" i="2" s="1"/>
  <c r="M63" i="2" s="1"/>
  <c r="J62" i="2"/>
  <c r="K62" i="2" s="1"/>
  <c r="L62" i="2" s="1"/>
  <c r="M62" i="2" s="1"/>
  <c r="J61" i="2"/>
  <c r="K61" i="2" s="1"/>
  <c r="L61" i="2" s="1"/>
  <c r="M61" i="2" s="1"/>
  <c r="I59" i="2"/>
  <c r="J59" i="2" s="1"/>
  <c r="K59" i="2" s="1"/>
  <c r="L59" i="2" s="1"/>
  <c r="M59" i="2" s="1"/>
  <c r="I58" i="2"/>
  <c r="J58" i="2" s="1"/>
  <c r="K58" i="2" s="1"/>
  <c r="L58" i="2" s="1"/>
  <c r="M58" i="2" s="1"/>
  <c r="I57" i="2"/>
  <c r="J57" i="2" s="1"/>
  <c r="K57" i="2" s="1"/>
  <c r="L57" i="2" s="1"/>
  <c r="M57" i="2" s="1"/>
  <c r="AO25" i="6"/>
  <c r="AQ25" i="6" s="1"/>
  <c r="AO24" i="6"/>
  <c r="AQ24" i="6" s="1"/>
  <c r="AO16" i="6"/>
  <c r="AQ16" i="6" s="1"/>
  <c r="AO27" i="7"/>
  <c r="AQ27" i="7" s="1"/>
  <c r="AO23" i="7"/>
  <c r="AQ23" i="7" s="1"/>
  <c r="AO19" i="7"/>
  <c r="AQ19" i="7" s="1"/>
  <c r="AO15" i="7"/>
  <c r="AQ15" i="7" s="1"/>
  <c r="Z52" i="10"/>
  <c r="T137" i="13"/>
  <c r="AB23" i="17"/>
  <c r="X25" i="17"/>
  <c r="AI52" i="14"/>
  <c r="X14" i="17" s="1"/>
  <c r="AB24" i="17"/>
  <c r="AO13" i="4"/>
  <c r="AQ13" i="4" s="1"/>
  <c r="AI52" i="6"/>
  <c r="L14" i="17" s="1"/>
  <c r="AI52" i="13"/>
  <c r="U14" i="17" s="1"/>
  <c r="AO26" i="4"/>
  <c r="AQ26" i="4" s="1"/>
  <c r="AO18" i="4"/>
  <c r="AQ18" i="4" s="1"/>
  <c r="M13" i="19"/>
  <c r="M18" i="19" s="1"/>
  <c r="M19" i="19" s="1"/>
  <c r="O13" i="19"/>
  <c r="O18" i="19" s="1"/>
  <c r="O19" i="19" s="1"/>
  <c r="Q13" i="19"/>
  <c r="Q18" i="19" s="1"/>
  <c r="Q19" i="19" s="1"/>
  <c r="O137" i="7"/>
  <c r="AB30" i="17"/>
  <c r="I25" i="17"/>
  <c r="Z49" i="10"/>
  <c r="Y137" i="6"/>
  <c r="AO18" i="7"/>
  <c r="AQ18" i="7" s="1"/>
  <c r="U44" i="20"/>
  <c r="AI52" i="4"/>
  <c r="I14" i="17" s="1"/>
  <c r="AO28" i="4"/>
  <c r="AQ28" i="4" s="1"/>
  <c r="AO20" i="4"/>
  <c r="AQ20" i="4" s="1"/>
  <c r="AO27" i="6"/>
  <c r="AQ27" i="6" s="1"/>
  <c r="AO19" i="6"/>
  <c r="AQ19" i="6" s="1"/>
  <c r="Z26" i="10"/>
  <c r="Z18" i="10"/>
  <c r="AB21" i="17"/>
  <c r="AO30" i="4"/>
  <c r="AQ30" i="4" s="1"/>
  <c r="AO22" i="4"/>
  <c r="AQ22" i="4" s="1"/>
  <c r="T137" i="12"/>
  <c r="D14" i="2"/>
  <c r="AD137" i="4"/>
  <c r="I19" i="17"/>
  <c r="AO24" i="4"/>
  <c r="AQ24" i="4" s="1"/>
  <c r="AO16" i="4"/>
  <c r="AQ16" i="4" s="1"/>
  <c r="Z23" i="10"/>
  <c r="U34" i="10"/>
  <c r="AO29" i="4"/>
  <c r="AQ29" i="4" s="1"/>
  <c r="AO14" i="7"/>
  <c r="AQ14" i="7" s="1"/>
  <c r="AO14" i="4"/>
  <c r="AQ14" i="4" s="1"/>
  <c r="Z15" i="10"/>
  <c r="M99" i="5"/>
  <c r="L75" i="5"/>
  <c r="J60" i="5"/>
  <c r="K99" i="5"/>
  <c r="J99" i="5"/>
  <c r="I99" i="5"/>
  <c r="H99" i="5"/>
  <c r="L99" i="5"/>
  <c r="M44" i="5"/>
  <c r="L44" i="5"/>
  <c r="L60" i="5"/>
  <c r="K44" i="5"/>
  <c r="M75" i="5"/>
  <c r="K60" i="5"/>
  <c r="J44" i="5"/>
  <c r="I44" i="5"/>
  <c r="K75" i="5"/>
  <c r="I60" i="5"/>
  <c r="H44" i="5"/>
  <c r="J75" i="5"/>
  <c r="H60" i="5"/>
  <c r="I75" i="5"/>
  <c r="H75" i="5"/>
  <c r="M60" i="5"/>
  <c r="M26" i="5"/>
  <c r="L26" i="5"/>
  <c r="I26" i="5"/>
  <c r="K26" i="5"/>
  <c r="J26" i="5"/>
  <c r="H26" i="5"/>
  <c r="F73" i="5"/>
  <c r="AO26" i="6"/>
  <c r="AQ26" i="6" s="1"/>
  <c r="AO18" i="6"/>
  <c r="AQ18" i="6" s="1"/>
  <c r="AO28" i="12"/>
  <c r="AQ28" i="12" s="1"/>
  <c r="AO24" i="12"/>
  <c r="AQ24" i="12" s="1"/>
  <c r="AO20" i="12"/>
  <c r="AQ20" i="12" s="1"/>
  <c r="AO16" i="12"/>
  <c r="AQ16" i="12" s="1"/>
  <c r="AO28" i="13"/>
  <c r="AQ28" i="13" s="1"/>
  <c r="AO24" i="13"/>
  <c r="AQ24" i="13" s="1"/>
  <c r="AO20" i="13"/>
  <c r="AQ20" i="13" s="1"/>
  <c r="AO16" i="13"/>
  <c r="AQ16" i="13" s="1"/>
  <c r="Z20" i="10"/>
  <c r="Z22" i="10"/>
  <c r="Z29" i="10"/>
  <c r="Z21" i="10"/>
  <c r="AO21" i="6"/>
  <c r="AQ21" i="6" s="1"/>
  <c r="AO20" i="6"/>
  <c r="AQ20" i="6" s="1"/>
  <c r="Z24" i="10"/>
  <c r="Z16" i="10"/>
  <c r="Z28" i="10"/>
  <c r="Z27" i="10"/>
  <c r="Z19" i="10"/>
  <c r="AO28" i="14"/>
  <c r="AQ28" i="14" s="1"/>
  <c r="AO24" i="14"/>
  <c r="AQ24" i="14" s="1"/>
  <c r="AO20" i="14"/>
  <c r="AQ20" i="14" s="1"/>
  <c r="AO16" i="14"/>
  <c r="AQ16" i="14" s="1"/>
  <c r="AI29" i="7"/>
  <c r="AO29" i="7" s="1"/>
  <c r="AQ29" i="7" s="1"/>
  <c r="AO29" i="6"/>
  <c r="AQ29" i="6" s="1"/>
  <c r="AI12" i="6"/>
  <c r="AO13" i="6"/>
  <c r="AQ13" i="6" s="1"/>
  <c r="AI32" i="4"/>
  <c r="I12" i="17" s="1"/>
  <c r="AI11" i="7"/>
  <c r="AI11" i="13"/>
  <c r="AI11" i="12"/>
  <c r="AI11" i="6"/>
  <c r="K13" i="19"/>
  <c r="K18" i="19" s="1"/>
  <c r="K19" i="19" s="1"/>
  <c r="AB22" i="17"/>
  <c r="Z31" i="10"/>
  <c r="AO25" i="14"/>
  <c r="AQ25" i="14" s="1"/>
  <c r="AO21" i="14"/>
  <c r="AQ21" i="14" s="1"/>
  <c r="AO17" i="14"/>
  <c r="AQ17" i="14" s="1"/>
  <c r="AO13" i="14"/>
  <c r="AQ13" i="14" s="1"/>
  <c r="F12" i="2"/>
  <c r="G12" i="2" s="1"/>
  <c r="H12" i="2" s="1"/>
  <c r="I12" i="2" s="1"/>
  <c r="R33" i="10"/>
  <c r="Z25" i="10"/>
  <c r="F11" i="2"/>
  <c r="G11" i="2" s="1"/>
  <c r="AO27" i="13"/>
  <c r="AQ27" i="13" s="1"/>
  <c r="AO23" i="13"/>
  <c r="AQ23" i="13" s="1"/>
  <c r="AO19" i="13"/>
  <c r="AQ19" i="13" s="1"/>
  <c r="AO15" i="13"/>
  <c r="AQ15" i="13" s="1"/>
  <c r="AO27" i="14"/>
  <c r="AQ27" i="14" s="1"/>
  <c r="AO23" i="14"/>
  <c r="AQ23" i="14" s="1"/>
  <c r="AO19" i="14"/>
  <c r="AQ19" i="14" s="1"/>
  <c r="AO15" i="14"/>
  <c r="AQ15" i="14" s="1"/>
  <c r="O33" i="10"/>
  <c r="Z17" i="10"/>
  <c r="Z14" i="10"/>
  <c r="AO28" i="7"/>
  <c r="AQ28" i="7" s="1"/>
  <c r="AO24" i="7"/>
  <c r="AQ24" i="7" s="1"/>
  <c r="AO20" i="7"/>
  <c r="AQ20" i="7" s="1"/>
  <c r="AO16" i="7"/>
  <c r="AQ16" i="7" s="1"/>
  <c r="AO25" i="12"/>
  <c r="AQ25" i="12" s="1"/>
  <c r="AO21" i="12"/>
  <c r="AQ21" i="12" s="1"/>
  <c r="AO17" i="12"/>
  <c r="AQ17" i="12" s="1"/>
  <c r="AO13" i="12"/>
  <c r="AQ13" i="12" s="1"/>
  <c r="I13" i="19"/>
  <c r="F10" i="2"/>
  <c r="G10" i="2" s="1"/>
  <c r="AO23" i="6"/>
  <c r="AQ23" i="6" s="1"/>
  <c r="AO15" i="6"/>
  <c r="AQ15" i="6" s="1"/>
  <c r="AO25" i="7"/>
  <c r="AQ25" i="7" s="1"/>
  <c r="AO21" i="7"/>
  <c r="AQ21" i="7" s="1"/>
  <c r="AO17" i="7"/>
  <c r="AQ17" i="7" s="1"/>
  <c r="AO13" i="7"/>
  <c r="AQ13" i="7" s="1"/>
  <c r="AO30" i="12"/>
  <c r="AQ30" i="12" s="1"/>
  <c r="AO26" i="12"/>
  <c r="AQ26" i="12" s="1"/>
  <c r="AO22" i="12"/>
  <c r="AQ22" i="12" s="1"/>
  <c r="AO18" i="12"/>
  <c r="AQ18" i="12" s="1"/>
  <c r="AO14" i="12"/>
  <c r="AQ14" i="12" s="1"/>
  <c r="AO28" i="6"/>
  <c r="AQ28" i="6" s="1"/>
  <c r="AO25" i="13"/>
  <c r="AQ25" i="13" s="1"/>
  <c r="AO21" i="13"/>
  <c r="AQ21" i="13" s="1"/>
  <c r="AO17" i="13"/>
  <c r="AQ17" i="13" s="1"/>
  <c r="AO13" i="13"/>
  <c r="AQ13" i="13" s="1"/>
  <c r="H9" i="2"/>
  <c r="I9" i="2" s="1"/>
  <c r="E8" i="2"/>
  <c r="AO17" i="6"/>
  <c r="AQ17" i="6" s="1"/>
  <c r="AO30" i="7"/>
  <c r="AQ30" i="7" s="1"/>
  <c r="AO26" i="7"/>
  <c r="AQ26" i="7" s="1"/>
  <c r="AO22" i="7"/>
  <c r="AQ22" i="7" s="1"/>
  <c r="AO30" i="6"/>
  <c r="AQ30" i="6" s="1"/>
  <c r="AO22" i="6"/>
  <c r="AQ22" i="6" s="1"/>
  <c r="AO14" i="6"/>
  <c r="AQ14" i="6" s="1"/>
  <c r="AO30" i="13"/>
  <c r="AQ30" i="13" s="1"/>
  <c r="AO26" i="13"/>
  <c r="AQ26" i="13" s="1"/>
  <c r="AO22" i="13"/>
  <c r="AQ22" i="13" s="1"/>
  <c r="AO18" i="13"/>
  <c r="AQ18" i="13" s="1"/>
  <c r="AO14" i="13"/>
  <c r="AQ14" i="13" s="1"/>
  <c r="AO30" i="14"/>
  <c r="AQ30" i="14" s="1"/>
  <c r="AO26" i="14"/>
  <c r="AQ26" i="14" s="1"/>
  <c r="AO22" i="14"/>
  <c r="AQ22" i="14" s="1"/>
  <c r="AO18" i="14"/>
  <c r="AQ18" i="14" s="1"/>
  <c r="AO14" i="14"/>
  <c r="AQ14" i="14" s="1"/>
  <c r="I62" i="5"/>
  <c r="K97" i="5"/>
  <c r="L58" i="5"/>
  <c r="K73" i="5"/>
  <c r="AF42" i="12"/>
  <c r="AK125" i="12" s="1"/>
  <c r="R31" i="17" s="1"/>
  <c r="G6" i="17"/>
  <c r="I7" i="10"/>
  <c r="F6" i="19"/>
  <c r="H46" i="5"/>
  <c r="AI42" i="14"/>
  <c r="AB32" i="17"/>
  <c r="O35" i="1" l="1"/>
  <c r="L42" i="1"/>
  <c r="U46" i="20" s="1"/>
  <c r="AB18" i="17"/>
  <c r="H32" i="5"/>
  <c r="I32" i="5" s="1"/>
  <c r="H33" i="5"/>
  <c r="I33" i="5" s="1"/>
  <c r="J33" i="5" s="1"/>
  <c r="K33" i="5" s="1"/>
  <c r="L33" i="5" s="1"/>
  <c r="M33" i="5" s="1"/>
  <c r="H34" i="5"/>
  <c r="I34" i="5" s="1"/>
  <c r="J34" i="5" s="1"/>
  <c r="K34" i="5" s="1"/>
  <c r="L34" i="5" s="1"/>
  <c r="M34" i="5" s="1"/>
  <c r="H31" i="5"/>
  <c r="I31" i="5" s="1"/>
  <c r="J31" i="5" s="1"/>
  <c r="K31" i="5" s="1"/>
  <c r="L31" i="5" s="1"/>
  <c r="M31" i="5" s="1"/>
  <c r="H30" i="5"/>
  <c r="I30" i="5" s="1"/>
  <c r="J30" i="5" s="1"/>
  <c r="K30" i="5" s="1"/>
  <c r="L30" i="5" s="1"/>
  <c r="M30" i="5" s="1"/>
  <c r="H28" i="5"/>
  <c r="AB14" i="17"/>
  <c r="H56" i="2"/>
  <c r="I56" i="2" s="1"/>
  <c r="J56" i="2" s="1"/>
  <c r="K56" i="2" s="1"/>
  <c r="L56" i="2" s="1"/>
  <c r="M56" i="2" s="1"/>
  <c r="H77" i="5"/>
  <c r="AB19" i="17"/>
  <c r="AB25" i="17"/>
  <c r="AI42" i="13"/>
  <c r="U13" i="17" s="1"/>
  <c r="Z38" i="10"/>
  <c r="AI42" i="12"/>
  <c r="R13" i="17" s="1"/>
  <c r="AI42" i="7"/>
  <c r="O13" i="17" s="1"/>
  <c r="H11" i="2"/>
  <c r="I11" i="2" s="1"/>
  <c r="Z50" i="10"/>
  <c r="H63" i="5"/>
  <c r="H62" i="5"/>
  <c r="AM50" i="4"/>
  <c r="AO50" i="4" s="1"/>
  <c r="AQ50" i="4" s="1"/>
  <c r="AI29" i="12"/>
  <c r="AI32" i="6"/>
  <c r="L12" i="17" s="1"/>
  <c r="AI12" i="7"/>
  <c r="Z12" i="10"/>
  <c r="H10" i="2"/>
  <c r="I10" i="2" s="1"/>
  <c r="S13" i="19"/>
  <c r="I18" i="19"/>
  <c r="E14" i="2"/>
  <c r="F8" i="2"/>
  <c r="F14" i="2" s="1"/>
  <c r="H60" i="2"/>
  <c r="I60" i="2" s="1"/>
  <c r="AI36" i="6" s="1"/>
  <c r="H87" i="5"/>
  <c r="I87" i="5" s="1"/>
  <c r="J87" i="5" s="1"/>
  <c r="K87" i="5" s="1"/>
  <c r="L87" i="5" s="1"/>
  <c r="M87" i="5" s="1"/>
  <c r="H101" i="5"/>
  <c r="H103" i="5"/>
  <c r="H102" i="5"/>
  <c r="AF42" i="14"/>
  <c r="AK125" i="14" s="1"/>
  <c r="X31" i="17" s="1"/>
  <c r="AF42" i="13"/>
  <c r="AK125" i="13" s="1"/>
  <c r="U31" i="17" s="1"/>
  <c r="H55" i="2"/>
  <c r="AI36" i="4" s="1"/>
  <c r="H48" i="5"/>
  <c r="H50" i="5"/>
  <c r="I50" i="5" s="1"/>
  <c r="J50" i="5" s="1"/>
  <c r="K50" i="5" s="1"/>
  <c r="L50" i="5" s="1"/>
  <c r="M50" i="5" s="1"/>
  <c r="H49" i="5"/>
  <c r="H83" i="5"/>
  <c r="I83" i="5" s="1"/>
  <c r="J83" i="5" s="1"/>
  <c r="K83" i="5" s="1"/>
  <c r="L83" i="5" s="1"/>
  <c r="M83" i="5" s="1"/>
  <c r="H82" i="5"/>
  <c r="I82" i="5" s="1"/>
  <c r="J82" i="5" s="1"/>
  <c r="K82" i="5" s="1"/>
  <c r="L82" i="5" s="1"/>
  <c r="M82" i="5" s="1"/>
  <c r="H85" i="5"/>
  <c r="I85" i="5" s="1"/>
  <c r="J85" i="5" s="1"/>
  <c r="K85" i="5" s="1"/>
  <c r="L85" i="5" s="1"/>
  <c r="M85" i="5" s="1"/>
  <c r="H86" i="5"/>
  <c r="I86" i="5" s="1"/>
  <c r="J86" i="5" s="1"/>
  <c r="K86" i="5" s="1"/>
  <c r="L86" i="5" s="1"/>
  <c r="M86" i="5" s="1"/>
  <c r="H84" i="5"/>
  <c r="I84" i="5" s="1"/>
  <c r="J84" i="5" s="1"/>
  <c r="K84" i="5" s="1"/>
  <c r="L84" i="5" s="1"/>
  <c r="M84" i="5" s="1"/>
  <c r="H89" i="5"/>
  <c r="I89" i="5" s="1"/>
  <c r="J89" i="5" s="1"/>
  <c r="K89" i="5" s="1"/>
  <c r="L89" i="5" s="1"/>
  <c r="M89" i="5" s="1"/>
  <c r="H88" i="5"/>
  <c r="I88" i="5" s="1"/>
  <c r="J88" i="5" s="1"/>
  <c r="K88" i="5" s="1"/>
  <c r="L88" i="5" s="1"/>
  <c r="M88" i="5" s="1"/>
  <c r="AP130" i="12"/>
  <c r="AI137" i="12" s="1"/>
  <c r="AP137" i="12" s="1"/>
  <c r="X13" i="17"/>
  <c r="R33" i="17"/>
  <c r="I48" i="5" l="1"/>
  <c r="J48" i="5" s="1"/>
  <c r="K48" i="5" s="1"/>
  <c r="L48" i="5" s="1"/>
  <c r="M48" i="5" s="1"/>
  <c r="O36" i="1"/>
  <c r="I49" i="5"/>
  <c r="J49" i="5" s="1"/>
  <c r="K49" i="5" s="1"/>
  <c r="L49" i="5" s="1"/>
  <c r="M49" i="5" s="1"/>
  <c r="O37" i="1"/>
  <c r="U43" i="20"/>
  <c r="U25" i="20"/>
  <c r="U24" i="20"/>
  <c r="U23" i="20"/>
  <c r="U22" i="20"/>
  <c r="U17" i="20"/>
  <c r="U27" i="20"/>
  <c r="U34" i="20"/>
  <c r="U21" i="20"/>
  <c r="U20" i="20"/>
  <c r="U19" i="20"/>
  <c r="U18" i="20"/>
  <c r="U28" i="20"/>
  <c r="U26" i="20"/>
  <c r="U32" i="20"/>
  <c r="U31" i="20"/>
  <c r="U30" i="20"/>
  <c r="U29" i="20"/>
  <c r="I63" i="5"/>
  <c r="AF36" i="6" s="1"/>
  <c r="AF36" i="4"/>
  <c r="AM11" i="4"/>
  <c r="AO11" i="4" s="1"/>
  <c r="AQ11" i="4" s="1"/>
  <c r="J32" i="5"/>
  <c r="AM11" i="6"/>
  <c r="AO11" i="6" s="1"/>
  <c r="AQ11" i="6" s="1"/>
  <c r="R8" i="4"/>
  <c r="AM38" i="4"/>
  <c r="AO38" i="4" s="1"/>
  <c r="AQ38" i="4" s="1"/>
  <c r="AM39" i="4"/>
  <c r="AO39" i="4" s="1"/>
  <c r="AQ39" i="4" s="1"/>
  <c r="AM40" i="4"/>
  <c r="AO40" i="4" s="1"/>
  <c r="AQ40" i="4" s="1"/>
  <c r="AM36" i="4"/>
  <c r="AM37" i="4"/>
  <c r="AO37" i="4" s="1"/>
  <c r="AQ37" i="4" s="1"/>
  <c r="J60" i="2"/>
  <c r="K60" i="2" s="1"/>
  <c r="L60" i="2" s="1"/>
  <c r="M60" i="2" s="1"/>
  <c r="AI42" i="6"/>
  <c r="O134" i="6" s="1"/>
  <c r="AM49" i="4"/>
  <c r="AO49" i="4" s="1"/>
  <c r="AQ49" i="4" s="1"/>
  <c r="AM47" i="4"/>
  <c r="AO47" i="4" s="1"/>
  <c r="AQ47" i="4" s="1"/>
  <c r="AM48" i="4"/>
  <c r="AO48" i="4" s="1"/>
  <c r="AQ48" i="4" s="1"/>
  <c r="AM46" i="4"/>
  <c r="AO46" i="4" s="1"/>
  <c r="AQ46" i="4" s="1"/>
  <c r="U33" i="17"/>
  <c r="AP130" i="13"/>
  <c r="AI137" i="13" s="1"/>
  <c r="AP137" i="13" s="1"/>
  <c r="AP130" i="14"/>
  <c r="AI137" i="14" s="1"/>
  <c r="AP137" i="14" s="1"/>
  <c r="AM12" i="4"/>
  <c r="AO12" i="4" s="1"/>
  <c r="I102" i="5"/>
  <c r="T30" i="4"/>
  <c r="T22" i="4"/>
  <c r="T14" i="4"/>
  <c r="T28" i="4"/>
  <c r="T20" i="4"/>
  <c r="T29" i="4"/>
  <c r="T21" i="4"/>
  <c r="T13" i="4"/>
  <c r="T12" i="4"/>
  <c r="T27" i="4"/>
  <c r="T19" i="4"/>
  <c r="T11" i="4"/>
  <c r="T17" i="4"/>
  <c r="T16" i="4"/>
  <c r="T23" i="4"/>
  <c r="T26" i="4"/>
  <c r="T18" i="4"/>
  <c r="T25" i="4"/>
  <c r="T24" i="4"/>
  <c r="T15" i="4"/>
  <c r="I103" i="5"/>
  <c r="AO29" i="12"/>
  <c r="AQ29" i="12" s="1"/>
  <c r="AI29" i="13"/>
  <c r="AO29" i="13" s="1"/>
  <c r="AQ29" i="13" s="1"/>
  <c r="AI12" i="12"/>
  <c r="AI32" i="7"/>
  <c r="S18" i="19"/>
  <c r="I19" i="19"/>
  <c r="S19" i="19" s="1"/>
  <c r="G8" i="2"/>
  <c r="G14" i="2" s="1"/>
  <c r="X33" i="17"/>
  <c r="I55" i="2"/>
  <c r="J55" i="2" s="1"/>
  <c r="K55" i="2" s="1"/>
  <c r="L55" i="2" s="1"/>
  <c r="M55" i="2" s="1"/>
  <c r="J63" i="5" l="1"/>
  <c r="K63" i="5" s="1"/>
  <c r="L63" i="5" s="1"/>
  <c r="M63" i="5" s="1"/>
  <c r="R8" i="6"/>
  <c r="K32" i="5"/>
  <c r="AM11" i="7"/>
  <c r="AO11" i="7" s="1"/>
  <c r="AQ11" i="7" s="1"/>
  <c r="AQ52" i="4"/>
  <c r="AM36" i="6"/>
  <c r="AO36" i="6" s="1"/>
  <c r="AM39" i="6"/>
  <c r="AO39" i="6" s="1"/>
  <c r="AQ39" i="6" s="1"/>
  <c r="AM40" i="6"/>
  <c r="AO40" i="6" s="1"/>
  <c r="AQ40" i="6" s="1"/>
  <c r="AM38" i="6"/>
  <c r="AO38" i="6" s="1"/>
  <c r="AQ38" i="6" s="1"/>
  <c r="AM37" i="6"/>
  <c r="AO37" i="6" s="1"/>
  <c r="AQ37" i="6" s="1"/>
  <c r="AM48" i="6"/>
  <c r="AO48" i="6" s="1"/>
  <c r="AQ48" i="6" s="1"/>
  <c r="AM47" i="6"/>
  <c r="AO47" i="6" s="1"/>
  <c r="AQ47" i="6" s="1"/>
  <c r="AM46" i="6"/>
  <c r="AO46" i="6" s="1"/>
  <c r="AM50" i="6"/>
  <c r="AO50" i="6" s="1"/>
  <c r="AQ50" i="6" s="1"/>
  <c r="AM49" i="6"/>
  <c r="AO49" i="6" s="1"/>
  <c r="AQ49" i="6" s="1"/>
  <c r="AO52" i="4"/>
  <c r="AF42" i="4"/>
  <c r="AK125" i="4" s="1"/>
  <c r="I31" i="17" s="1"/>
  <c r="AQ12" i="4"/>
  <c r="AO32" i="4"/>
  <c r="AM12" i="6"/>
  <c r="AO12" i="6" s="1"/>
  <c r="J103" i="5"/>
  <c r="J102" i="5"/>
  <c r="AA28" i="6"/>
  <c r="AA20" i="6"/>
  <c r="AA26" i="6"/>
  <c r="AA22" i="6"/>
  <c r="AA11" i="6"/>
  <c r="AA27" i="6"/>
  <c r="AA19" i="6"/>
  <c r="AA18" i="6"/>
  <c r="AA14" i="6"/>
  <c r="AA25" i="6"/>
  <c r="AA17" i="6"/>
  <c r="AA15" i="6"/>
  <c r="AA30" i="6"/>
  <c r="AA24" i="6"/>
  <c r="AA16" i="6"/>
  <c r="AA23" i="6"/>
  <c r="AA21" i="6"/>
  <c r="AA13" i="6"/>
  <c r="AA29" i="6"/>
  <c r="AA12" i="6"/>
  <c r="AI29" i="14"/>
  <c r="AO29" i="14" s="1"/>
  <c r="AQ29" i="14" s="1"/>
  <c r="U33" i="20" s="1"/>
  <c r="AI12" i="13"/>
  <c r="AI12" i="14"/>
  <c r="AI32" i="12"/>
  <c r="O12" i="17"/>
  <c r="O134" i="7"/>
  <c r="H8" i="2"/>
  <c r="H14" i="2" s="1"/>
  <c r="L13" i="17"/>
  <c r="AF42" i="6"/>
  <c r="AK125" i="6" s="1"/>
  <c r="L31" i="17" s="1"/>
  <c r="AO36" i="4"/>
  <c r="AI42" i="4"/>
  <c r="AM47" i="7"/>
  <c r="AO47" i="7" s="1"/>
  <c r="AQ47" i="7" s="1"/>
  <c r="AM46" i="7"/>
  <c r="AO46" i="7" s="1"/>
  <c r="AM48" i="7"/>
  <c r="AO48" i="7" s="1"/>
  <c r="AQ48" i="7" s="1"/>
  <c r="AM50" i="7"/>
  <c r="AO50" i="7" s="1"/>
  <c r="AQ50" i="7" s="1"/>
  <c r="AM49" i="7"/>
  <c r="AO49" i="7" s="1"/>
  <c r="AQ49" i="7" s="1"/>
  <c r="AQ32" i="4" l="1"/>
  <c r="L32" i="5"/>
  <c r="AM11" i="12"/>
  <c r="AO11" i="12" s="1"/>
  <c r="AQ11" i="12" s="1"/>
  <c r="R8" i="7"/>
  <c r="AM37" i="7"/>
  <c r="AO37" i="7" s="1"/>
  <c r="AQ37" i="7" s="1"/>
  <c r="AM38" i="7"/>
  <c r="AO38" i="7" s="1"/>
  <c r="AQ38" i="7" s="1"/>
  <c r="AM39" i="7"/>
  <c r="AO39" i="7" s="1"/>
  <c r="AQ39" i="7" s="1"/>
  <c r="AM40" i="7"/>
  <c r="AO40" i="7" s="1"/>
  <c r="AQ40" i="7" s="1"/>
  <c r="AM36" i="7"/>
  <c r="AO36" i="7" s="1"/>
  <c r="AO52" i="6"/>
  <c r="AO42" i="4"/>
  <c r="T134" i="4" s="1"/>
  <c r="I15" i="17" s="1"/>
  <c r="AQ36" i="4"/>
  <c r="AQ42" i="4" s="1"/>
  <c r="AQ46" i="6"/>
  <c r="AQ52" i="6" s="1"/>
  <c r="AF42" i="7"/>
  <c r="AK125" i="7" s="1"/>
  <c r="O31" i="17" s="1"/>
  <c r="I33" i="17"/>
  <c r="AP130" i="6"/>
  <c r="AI137" i="6" s="1"/>
  <c r="AP137" i="6" s="1"/>
  <c r="AM12" i="7"/>
  <c r="AO12" i="7" s="1"/>
  <c r="AQ12" i="6"/>
  <c r="AQ32" i="6" s="1"/>
  <c r="AO32" i="6"/>
  <c r="AP130" i="4"/>
  <c r="K102" i="5"/>
  <c r="AA27" i="7"/>
  <c r="AA19" i="7"/>
  <c r="AA30" i="7"/>
  <c r="AA20" i="7"/>
  <c r="AA26" i="7"/>
  <c r="AA18" i="7"/>
  <c r="AA25" i="7"/>
  <c r="AA17" i="7"/>
  <c r="AA24" i="7"/>
  <c r="AA16" i="7"/>
  <c r="AA14" i="7"/>
  <c r="AA11" i="7"/>
  <c r="AA23" i="7"/>
  <c r="AA15" i="7"/>
  <c r="AA22" i="7"/>
  <c r="AA21" i="7"/>
  <c r="AA28" i="7"/>
  <c r="AA13" i="7"/>
  <c r="AA29" i="7"/>
  <c r="AA12" i="7"/>
  <c r="K103" i="5"/>
  <c r="Z30" i="10"/>
  <c r="AI32" i="14"/>
  <c r="AI32" i="13"/>
  <c r="Z13" i="10"/>
  <c r="R12" i="17"/>
  <c r="O134" i="12"/>
  <c r="I8" i="2"/>
  <c r="I14" i="2" s="1"/>
  <c r="U47" i="20" s="1"/>
  <c r="L33" i="17"/>
  <c r="AQ36" i="6"/>
  <c r="AQ42" i="6" s="1"/>
  <c r="AO42" i="6"/>
  <c r="Z37" i="10"/>
  <c r="O134" i="4"/>
  <c r="I13" i="17"/>
  <c r="AB13" i="17" s="1"/>
  <c r="AM50" i="12"/>
  <c r="AO50" i="12" s="1"/>
  <c r="AQ50" i="12" s="1"/>
  <c r="AM48" i="12"/>
  <c r="AO48" i="12" s="1"/>
  <c r="AQ48" i="12" s="1"/>
  <c r="AM47" i="12"/>
  <c r="AO47" i="12" s="1"/>
  <c r="AQ47" i="12" s="1"/>
  <c r="AM49" i="12"/>
  <c r="AO49" i="12" s="1"/>
  <c r="AQ49" i="12" s="1"/>
  <c r="AM46" i="12"/>
  <c r="AO46" i="12" s="1"/>
  <c r="AQ46" i="7"/>
  <c r="AQ52" i="7" s="1"/>
  <c r="AO52" i="7"/>
  <c r="R8" i="12" l="1"/>
  <c r="M32" i="5"/>
  <c r="AM11" i="14" s="1"/>
  <c r="AO11" i="14" s="1"/>
  <c r="AQ11" i="14" s="1"/>
  <c r="AM11" i="13"/>
  <c r="AO11" i="13" s="1"/>
  <c r="AQ11" i="13" s="1"/>
  <c r="AO42" i="7"/>
  <c r="AQ36" i="7"/>
  <c r="AQ42" i="7" s="1"/>
  <c r="AM36" i="12"/>
  <c r="AO36" i="12" s="1"/>
  <c r="AM40" i="12"/>
  <c r="AO40" i="12" s="1"/>
  <c r="AQ40" i="12" s="1"/>
  <c r="AM37" i="12"/>
  <c r="AO37" i="12" s="1"/>
  <c r="AQ37" i="12" s="1"/>
  <c r="AM39" i="12"/>
  <c r="AO39" i="12" s="1"/>
  <c r="AQ39" i="12" s="1"/>
  <c r="AM38" i="12"/>
  <c r="AO38" i="12" s="1"/>
  <c r="AQ38" i="12" s="1"/>
  <c r="O33" i="17"/>
  <c r="AB33" i="17" s="1"/>
  <c r="AP130" i="7"/>
  <c r="AI137" i="7" s="1"/>
  <c r="AP137" i="7" s="1"/>
  <c r="T134" i="6"/>
  <c r="L15" i="17" s="1"/>
  <c r="AQ12" i="7"/>
  <c r="AQ32" i="7" s="1"/>
  <c r="AO32" i="7"/>
  <c r="AM12" i="12"/>
  <c r="AO12" i="12" s="1"/>
  <c r="AI137" i="4"/>
  <c r="AP137" i="4" s="1"/>
  <c r="L103" i="5"/>
  <c r="L102" i="5"/>
  <c r="AA25" i="12"/>
  <c r="AA17" i="12"/>
  <c r="AA15" i="12"/>
  <c r="AA26" i="12"/>
  <c r="AA24" i="12"/>
  <c r="AA16" i="12"/>
  <c r="AA23" i="12"/>
  <c r="AA27" i="12"/>
  <c r="AA22" i="12"/>
  <c r="AA14" i="12"/>
  <c r="AA20" i="12"/>
  <c r="AA11" i="12"/>
  <c r="AA19" i="12"/>
  <c r="AA18" i="12"/>
  <c r="AA30" i="12"/>
  <c r="AA21" i="12"/>
  <c r="AA13" i="12"/>
  <c r="AA28" i="12"/>
  <c r="AA29" i="12"/>
  <c r="AA12" i="12"/>
  <c r="Z33" i="10"/>
  <c r="U12" i="17"/>
  <c r="O134" i="13"/>
  <c r="O134" i="14"/>
  <c r="X12" i="17"/>
  <c r="AP134" i="4"/>
  <c r="AO52" i="12"/>
  <c r="AQ46" i="12"/>
  <c r="AQ52" i="12" s="1"/>
  <c r="AM49" i="13"/>
  <c r="AO49" i="13" s="1"/>
  <c r="AQ49" i="13" s="1"/>
  <c r="AM46" i="13"/>
  <c r="AO46" i="13" s="1"/>
  <c r="AM47" i="13"/>
  <c r="AO47" i="13" s="1"/>
  <c r="AQ47" i="13" s="1"/>
  <c r="AM48" i="13"/>
  <c r="AO48" i="13" s="1"/>
  <c r="AQ48" i="13" s="1"/>
  <c r="AM50" i="13"/>
  <c r="AO50" i="13" s="1"/>
  <c r="AQ50" i="13" s="1"/>
  <c r="U15" i="20" l="1"/>
  <c r="U48" i="20"/>
  <c r="T134" i="7"/>
  <c r="AP134" i="7" s="1"/>
  <c r="AP139" i="7" s="1"/>
  <c r="AQ36" i="12"/>
  <c r="AQ42" i="12" s="1"/>
  <c r="AO42" i="12"/>
  <c r="AM39" i="13"/>
  <c r="AO39" i="13" s="1"/>
  <c r="AQ39" i="13" s="1"/>
  <c r="AM38" i="13"/>
  <c r="AO38" i="13" s="1"/>
  <c r="AQ38" i="13" s="1"/>
  <c r="AM40" i="13"/>
  <c r="AO40" i="13" s="1"/>
  <c r="AQ40" i="13" s="1"/>
  <c r="AM37" i="13"/>
  <c r="AO37" i="13" s="1"/>
  <c r="AQ37" i="13" s="1"/>
  <c r="AM36" i="13"/>
  <c r="AO36" i="13" s="1"/>
  <c r="R8" i="13"/>
  <c r="T58" i="10"/>
  <c r="Z54" i="10" s="1"/>
  <c r="Z61" i="10" s="1"/>
  <c r="AB31" i="17"/>
  <c r="AP134" i="6"/>
  <c r="AP139" i="6" s="1"/>
  <c r="AQ12" i="12"/>
  <c r="AQ32" i="12" s="1"/>
  <c r="AO32" i="12"/>
  <c r="AM12" i="14"/>
  <c r="AO12" i="14" s="1"/>
  <c r="AM12" i="13"/>
  <c r="AO12" i="13" s="1"/>
  <c r="M102" i="5"/>
  <c r="AA23" i="13"/>
  <c r="AA15" i="13"/>
  <c r="AA21" i="13"/>
  <c r="AA13" i="13"/>
  <c r="AA25" i="13"/>
  <c r="AA22" i="13"/>
  <c r="AA14" i="13"/>
  <c r="AA30" i="13"/>
  <c r="AA24" i="13"/>
  <c r="AA28" i="13"/>
  <c r="AA20" i="13"/>
  <c r="AA11" i="13"/>
  <c r="AA18" i="13"/>
  <c r="AA16" i="13"/>
  <c r="AA27" i="13"/>
  <c r="AA19" i="13"/>
  <c r="AA26" i="13"/>
  <c r="AA17" i="13"/>
  <c r="AA12" i="13"/>
  <c r="AA29" i="13"/>
  <c r="M103" i="5"/>
  <c r="Z42" i="10"/>
  <c r="AB12" i="17"/>
  <c r="I16" i="17"/>
  <c r="AP139" i="4"/>
  <c r="AO52" i="13"/>
  <c r="AQ46" i="13"/>
  <c r="AQ52" i="13" s="1"/>
  <c r="AM50" i="14"/>
  <c r="AO50" i="14" s="1"/>
  <c r="AQ50" i="14" s="1"/>
  <c r="AM46" i="14"/>
  <c r="AO46" i="14" s="1"/>
  <c r="AM48" i="14"/>
  <c r="AO48" i="14" s="1"/>
  <c r="AQ48" i="14" s="1"/>
  <c r="AM49" i="14"/>
  <c r="AO49" i="14" s="1"/>
  <c r="AQ49" i="14" s="1"/>
  <c r="AM47" i="14"/>
  <c r="AO47" i="14" s="1"/>
  <c r="AQ47" i="14" s="1"/>
  <c r="L35" i="17" l="1"/>
  <c r="O15" i="17"/>
  <c r="R8" i="14"/>
  <c r="T134" i="12"/>
  <c r="AP134" i="12" s="1"/>
  <c r="AM37" i="14"/>
  <c r="AO37" i="14" s="1"/>
  <c r="AQ37" i="14" s="1"/>
  <c r="AM38" i="14"/>
  <c r="AO38" i="14" s="1"/>
  <c r="AQ38" i="14" s="1"/>
  <c r="AM39" i="14"/>
  <c r="AO39" i="14" s="1"/>
  <c r="AQ39" i="14" s="1"/>
  <c r="AM40" i="14"/>
  <c r="AO40" i="14" s="1"/>
  <c r="AQ40" i="14" s="1"/>
  <c r="AM36" i="14"/>
  <c r="AO36" i="14" s="1"/>
  <c r="AO42" i="13"/>
  <c r="AQ36" i="13"/>
  <c r="AQ42" i="13" s="1"/>
  <c r="L16" i="17"/>
  <c r="K12" i="19"/>
  <c r="K14" i="19" s="1"/>
  <c r="O16" i="17"/>
  <c r="AP140" i="6"/>
  <c r="AP141" i="6" s="1"/>
  <c r="AQ12" i="13"/>
  <c r="AO32" i="13"/>
  <c r="AQ12" i="14"/>
  <c r="AQ32" i="14" s="1"/>
  <c r="AO32" i="14"/>
  <c r="AA30" i="14"/>
  <c r="AA21" i="14"/>
  <c r="AA13" i="14"/>
  <c r="AA19" i="14"/>
  <c r="AA22" i="14"/>
  <c r="AA28" i="14"/>
  <c r="AA20" i="14"/>
  <c r="AA11" i="14"/>
  <c r="AA27" i="14"/>
  <c r="AA26" i="14"/>
  <c r="AA18" i="14"/>
  <c r="AA16" i="14"/>
  <c r="AA15" i="14"/>
  <c r="AA25" i="14"/>
  <c r="AA17" i="14"/>
  <c r="AA24" i="14"/>
  <c r="AA23" i="14"/>
  <c r="AA14" i="14"/>
  <c r="AA12" i="14"/>
  <c r="AA29" i="14"/>
  <c r="AP140" i="4"/>
  <c r="AP141" i="4" s="1"/>
  <c r="I35" i="17"/>
  <c r="I12" i="19"/>
  <c r="M12" i="19"/>
  <c r="O35" i="17"/>
  <c r="AP140" i="7"/>
  <c r="AP141" i="7" s="1"/>
  <c r="AO52" i="14"/>
  <c r="U39" i="20" s="1"/>
  <c r="AQ46" i="14"/>
  <c r="AQ52" i="14" s="1"/>
  <c r="O36" i="17" l="1"/>
  <c r="AP143" i="7"/>
  <c r="O37" i="17" s="1"/>
  <c r="O38" i="17" s="1"/>
  <c r="I36" i="17"/>
  <c r="AP143" i="4"/>
  <c r="AP145" i="4" s="1"/>
  <c r="AP145" i="7"/>
  <c r="L36" i="17"/>
  <c r="AP143" i="6"/>
  <c r="I37" i="17"/>
  <c r="I38" i="17" s="1"/>
  <c r="U16" i="20"/>
  <c r="U37" i="20" s="1"/>
  <c r="R15" i="17"/>
  <c r="T134" i="13"/>
  <c r="AP134" i="13" s="1"/>
  <c r="U16" i="17" s="1"/>
  <c r="AQ36" i="14"/>
  <c r="AQ42" i="14" s="1"/>
  <c r="AO42" i="14"/>
  <c r="T134" i="14" s="1"/>
  <c r="K20" i="19"/>
  <c r="AQ32" i="13"/>
  <c r="AP139" i="12"/>
  <c r="R16" i="17"/>
  <c r="I14" i="19"/>
  <c r="I20" i="19"/>
  <c r="M14" i="19"/>
  <c r="M20" i="19"/>
  <c r="L37" i="17" l="1"/>
  <c r="L38" i="17" s="1"/>
  <c r="AP145" i="6"/>
  <c r="U38" i="20"/>
  <c r="U51" i="20" s="1"/>
  <c r="I21" i="19"/>
  <c r="I22" i="19" s="1"/>
  <c r="K21" i="19"/>
  <c r="K22" i="19" s="1"/>
  <c r="M21" i="19"/>
  <c r="M22" i="19" s="1"/>
  <c r="U15" i="17"/>
  <c r="AP139" i="13"/>
  <c r="R35" i="17"/>
  <c r="O12" i="19"/>
  <c r="AP140" i="12"/>
  <c r="AP141" i="12" s="1"/>
  <c r="X15" i="17"/>
  <c r="AP134" i="14"/>
  <c r="Z43" i="10"/>
  <c r="Z45" i="10" s="1"/>
  <c r="R36" i="17" l="1"/>
  <c r="AP143" i="12"/>
  <c r="R37" i="17" s="1"/>
  <c r="R38" i="17" s="1"/>
  <c r="U35" i="17"/>
  <c r="AB15" i="17"/>
  <c r="Q12" i="19"/>
  <c r="Q14" i="19" s="1"/>
  <c r="AP140" i="13"/>
  <c r="AP141" i="13" s="1"/>
  <c r="O14" i="19"/>
  <c r="O20" i="19"/>
  <c r="X16" i="17"/>
  <c r="AB16" i="17" s="1"/>
  <c r="AB35" i="17" s="1"/>
  <c r="AP139" i="14"/>
  <c r="AP145" i="12" l="1"/>
  <c r="U36" i="17"/>
  <c r="AP143" i="13"/>
  <c r="O21" i="19"/>
  <c r="O22" i="19" s="1"/>
  <c r="S12" i="19"/>
  <c r="Q20" i="19"/>
  <c r="Q21" i="19" s="1"/>
  <c r="S14" i="19"/>
  <c r="X35" i="17"/>
  <c r="AP140" i="14"/>
  <c r="AP141" i="14" s="1"/>
  <c r="Z65" i="10"/>
  <c r="AP143" i="14" l="1"/>
  <c r="X37" i="17" s="1"/>
  <c r="X38" i="17" s="1"/>
  <c r="X36" i="17"/>
  <c r="Z67" i="10"/>
  <c r="AB36" i="17"/>
  <c r="U37" i="17"/>
  <c r="Z69" i="10"/>
  <c r="Z72" i="10" s="1"/>
  <c r="AP145" i="13"/>
  <c r="S20" i="19"/>
  <c r="Q22" i="19"/>
  <c r="S22" i="19" s="1"/>
  <c r="S21" i="19"/>
  <c r="AP145" i="14" l="1"/>
  <c r="U38" i="17"/>
  <c r="AB37" i="17"/>
  <c r="AB3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shane dunlap</author>
  </authors>
  <commentList>
    <comment ref="D44" authorId="0" shapeId="0" xr:uid="{00000000-0006-0000-1000-000001000000}">
      <text>
        <r>
          <rPr>
            <b/>
            <sz val="10"/>
            <color indexed="81"/>
            <rFont val="Tahoma"/>
            <family val="2"/>
          </rPr>
          <t>shane dunlap:</t>
        </r>
        <r>
          <rPr>
            <sz val="10"/>
            <color indexed="81"/>
            <rFont val="Tahoma"/>
            <family val="2"/>
          </rPr>
          <t xml:space="preserve">
If you change the order of these items, it will change the conditional formatting on the budget pages.</t>
        </r>
      </text>
    </comment>
    <comment ref="F53" authorId="0" shapeId="0" xr:uid="{00000000-0006-0000-1000-000002000000}">
      <text>
        <r>
          <rPr>
            <b/>
            <sz val="10"/>
            <color indexed="81"/>
            <rFont val="Tahoma"/>
            <family val="2"/>
          </rPr>
          <t>shane dunlap:</t>
        </r>
        <r>
          <rPr>
            <sz val="10"/>
            <color indexed="81"/>
            <rFont val="Tahoma"/>
            <family val="2"/>
          </rPr>
          <t xml:space="preserve">
Making changes to these options requires a complete re-do of the calculation sheet.</t>
        </r>
      </text>
    </comment>
    <comment ref="D71" authorId="0" shapeId="0" xr:uid="{00000000-0006-0000-1000-000003000000}">
      <text>
        <r>
          <rPr>
            <b/>
            <sz val="10"/>
            <color indexed="81"/>
            <rFont val="Tahoma"/>
            <family val="2"/>
          </rPr>
          <t>shane dunlap:</t>
        </r>
        <r>
          <rPr>
            <sz val="10"/>
            <color indexed="81"/>
            <rFont val="Tahoma"/>
            <family val="2"/>
          </rPr>
          <t xml:space="preserve">
Only used for calculating RA/PA tuition in certain instances.</t>
        </r>
      </text>
    </comment>
  </commentList>
</comments>
</file>

<file path=xl/sharedStrings.xml><?xml version="1.0" encoding="utf-8"?>
<sst xmlns="http://schemas.openxmlformats.org/spreadsheetml/2006/main" count="1743" uniqueCount="568">
  <si>
    <t>University of Wisconsin - Milwaukee</t>
  </si>
  <si>
    <t>Budget Development Tool</t>
  </si>
  <si>
    <t>Project Data</t>
  </si>
  <si>
    <t>PI:</t>
  </si>
  <si>
    <t>Working Title:</t>
  </si>
  <si>
    <t>Proposed Begin Date:</t>
  </si>
  <si>
    <t>Sponsor Type (from Project Data)</t>
  </si>
  <si>
    <t>Federal</t>
  </si>
  <si>
    <t>Non-Federal</t>
  </si>
  <si>
    <t>Salaries (non-student)</t>
  </si>
  <si>
    <t xml:space="preserve">Annual Inflation Rate: </t>
  </si>
  <si>
    <t>Rate:</t>
  </si>
  <si>
    <t>Base:</t>
  </si>
  <si>
    <t>Base (from Project Data)</t>
  </si>
  <si>
    <t>TDC</t>
  </si>
  <si>
    <t>MTDC</t>
  </si>
  <si>
    <t>Other</t>
  </si>
  <si>
    <t>Common Rates &amp; Bases</t>
  </si>
  <si>
    <t>Base</t>
  </si>
  <si>
    <t>Rate</t>
  </si>
  <si>
    <t>Research</t>
  </si>
  <si>
    <t>Instruction</t>
  </si>
  <si>
    <t>Project Type</t>
  </si>
  <si>
    <t>Sponsor-limited</t>
  </si>
  <si>
    <t>varies</t>
  </si>
  <si>
    <t>BUDGET PERIOD 1</t>
  </si>
  <si>
    <t>Name</t>
  </si>
  <si>
    <t>Role</t>
  </si>
  <si>
    <t>Pay Basis</t>
  </si>
  <si>
    <t>Base Pay</t>
  </si>
  <si>
    <t># of Months</t>
  </si>
  <si>
    <t>Person Months</t>
  </si>
  <si>
    <t>Requested Salary</t>
  </si>
  <si>
    <t>Fringe Rate</t>
  </si>
  <si>
    <t>Row Total</t>
  </si>
  <si>
    <t>Role (Budget Periods)</t>
  </si>
  <si>
    <t>&lt;choose&gt;</t>
  </si>
  <si>
    <t>PI</t>
  </si>
  <si>
    <t>Co-PI</t>
  </si>
  <si>
    <t>Post Doc</t>
  </si>
  <si>
    <t>Academic</t>
  </si>
  <si>
    <t>Annual</t>
  </si>
  <si>
    <r>
      <t>Classified (</t>
    </r>
    <r>
      <rPr>
        <sz val="10"/>
        <color indexed="10"/>
        <rFont val="Arial"/>
        <family val="2"/>
      </rPr>
      <t>base pay=hrly rate</t>
    </r>
    <r>
      <rPr>
        <sz val="10"/>
        <color theme="1"/>
        <rFont val="Arial"/>
        <family val="2"/>
      </rPr>
      <t>)</t>
    </r>
  </si>
  <si>
    <r>
      <t>LTE (</t>
    </r>
    <r>
      <rPr>
        <sz val="10"/>
        <color indexed="10"/>
        <rFont val="Arial"/>
        <family val="2"/>
      </rPr>
      <t>base pay=hrly rate</t>
    </r>
    <r>
      <rPr>
        <sz val="10"/>
        <color theme="1"/>
        <rFont val="Arial"/>
        <family val="2"/>
      </rPr>
      <t>)</t>
    </r>
  </si>
  <si>
    <t>Pay Basis (Budget Periods)</t>
  </si>
  <si>
    <t>Period (Budget Periods)</t>
  </si>
  <si>
    <t>Acad Year</t>
  </si>
  <si>
    <t>Summer</t>
  </si>
  <si>
    <t>Period</t>
  </si>
  <si>
    <t>% Effort</t>
  </si>
  <si>
    <t>Fringe Benefit Rates</t>
  </si>
  <si>
    <t>Last Updated</t>
  </si>
  <si>
    <t>Annual Increase %</t>
  </si>
  <si>
    <t>Year 1</t>
  </si>
  <si>
    <t>Year 2</t>
  </si>
  <si>
    <t>Year 3</t>
  </si>
  <si>
    <t>Year 4</t>
  </si>
  <si>
    <t>Year 5</t>
  </si>
  <si>
    <t>Student Hourly / Undergraduate Students</t>
  </si>
  <si>
    <t>Research and Project Assistants / Graduate Students</t>
  </si>
  <si>
    <t>Research Associates / Post Doctoral Associates</t>
  </si>
  <si>
    <t>Other Professionals / Faculty / Other</t>
  </si>
  <si>
    <t>UWM staff Technicians / Classified Staff / Secretarial</t>
  </si>
  <si>
    <t>LTE</t>
  </si>
  <si>
    <t>F&amp;A (Facilities and Administration (Indirect) Cost) Rates</t>
  </si>
  <si>
    <t>Current</t>
  </si>
  <si>
    <t>Academic Year</t>
  </si>
  <si>
    <t>Annual Basis</t>
  </si>
  <si>
    <t>Graduate Student Stipends</t>
  </si>
  <si>
    <t>Research Assistant (Annual Basis) 50%</t>
  </si>
  <si>
    <t>Research Assistant (Annual Basis) 33%</t>
  </si>
  <si>
    <t>Research Assistant (Academic Year) 50%</t>
  </si>
  <si>
    <t>Research Assistant (Academic Year) 33%</t>
  </si>
  <si>
    <t>Project Assistant - Doctoral - Annual - 50%</t>
  </si>
  <si>
    <t>Project Assistant - Doctoral - Annual - 33%</t>
  </si>
  <si>
    <t>Project Assistant - Doctoral - Academic - 50%</t>
  </si>
  <si>
    <t>Project Assistant - Doctoral - Academic - 33%</t>
  </si>
  <si>
    <t>Project Assistant - Non-Doctoral - Annual - 50%</t>
  </si>
  <si>
    <t>Project Assistant - Non-Doctoral - Annual - 33%</t>
  </si>
  <si>
    <t>Project Assistant - Non-Doctoral - Academic - 50%</t>
  </si>
  <si>
    <t>Project Assistant - Non-Doctoral - Academic - 33%</t>
  </si>
  <si>
    <t>Dates</t>
  </si>
  <si>
    <t>Fiscal Year Cutover</t>
  </si>
  <si>
    <t>Fiscal Year Start</t>
  </si>
  <si>
    <t>Fiscal Year Crossover</t>
  </si>
  <si>
    <t>If the start date of the project is after the fiscal year cutover, must increase first year (and subsequent) rates</t>
  </si>
  <si>
    <t>First Year RA % Increase</t>
  </si>
  <si>
    <t>First Year PA % Increase</t>
  </si>
  <si>
    <t>Subsequent Yrs RA % Increase</t>
  </si>
  <si>
    <t>Subsequent Yrs PA % Increase</t>
  </si>
  <si>
    <t>Fringe Benefits</t>
  </si>
  <si>
    <t>1.</t>
  </si>
  <si>
    <t>2.</t>
  </si>
  <si>
    <t>3.</t>
  </si>
  <si>
    <t>4.</t>
  </si>
  <si>
    <t>5.</t>
  </si>
  <si>
    <t>6.</t>
  </si>
  <si>
    <t>7.</t>
  </si>
  <si>
    <t>8.</t>
  </si>
  <si>
    <t>9.</t>
  </si>
  <si>
    <t>11.</t>
  </si>
  <si>
    <t>12.</t>
  </si>
  <si>
    <t>13.</t>
  </si>
  <si>
    <t>14.</t>
  </si>
  <si>
    <t>15.</t>
  </si>
  <si>
    <t>16.</t>
  </si>
  <si>
    <t>17.</t>
  </si>
  <si>
    <t>18.</t>
  </si>
  <si>
    <t>19.</t>
  </si>
  <si>
    <t>20.</t>
  </si>
  <si>
    <t>Non-Student Personnel Totals</t>
  </si>
  <si>
    <t>Research Assistant - Annual - 50%</t>
  </si>
  <si>
    <t>Research Assistant - Annual - 33%</t>
  </si>
  <si>
    <t>Research Assistant - Academic - 50%</t>
  </si>
  <si>
    <t>Research Assistant - Academic - 33%</t>
  </si>
  <si>
    <t>&lt;none&gt;</t>
  </si>
  <si>
    <t>Graduate Assistant Types &amp; Appointments</t>
  </si>
  <si>
    <t>Salary</t>
  </si>
  <si>
    <t>Tuition</t>
  </si>
  <si>
    <t># of Assts</t>
  </si>
  <si>
    <t>NRTR</t>
  </si>
  <si>
    <t>Appointment
Term</t>
  </si>
  <si>
    <t>Additional Tuition</t>
  </si>
  <si>
    <t>Requested
Salary</t>
  </si>
  <si>
    <t>Fringe
Rate</t>
  </si>
  <si>
    <t>Fringe
Benefits</t>
  </si>
  <si>
    <t>Row
Total</t>
  </si>
  <si>
    <t>Project Type:</t>
  </si>
  <si>
    <t>Project Type (from Project Data)</t>
  </si>
  <si>
    <t>Student Hourly</t>
  </si>
  <si>
    <t>Pay Rate per Hour</t>
  </si>
  <si>
    <t># of Hours</t>
  </si>
  <si>
    <t>Personnel Costs - Non-Student Personnel</t>
  </si>
  <si>
    <t>Graduate Assistant Personnel Totals</t>
  </si>
  <si>
    <t>Personnel Costs - Student Personnel - Graduate Assistants</t>
  </si>
  <si>
    <t>Student Hourly Personnel Totals</t>
  </si>
  <si>
    <t>Personnel Costs - Student Hourly Personnel</t>
  </si>
  <si>
    <t>Non-Personnel Costs</t>
  </si>
  <si>
    <t>Equipment</t>
  </si>
  <si>
    <t>Cost</t>
  </si>
  <si>
    <t>Subtotal Equipment Costs</t>
  </si>
  <si>
    <t>10.</t>
  </si>
  <si>
    <t>Domestic Travel</t>
  </si>
  <si>
    <t>Foreign Travel</t>
  </si>
  <si>
    <t>Subtotal Domestic Travel Costs</t>
  </si>
  <si>
    <t>Subtotal Foreign Travel Costs</t>
  </si>
  <si>
    <t>Subtotal Participant Costs</t>
  </si>
  <si>
    <t>Other Direct Costs</t>
  </si>
  <si>
    <t>Material &amp; Supplies</t>
  </si>
  <si>
    <t>Publications</t>
  </si>
  <si>
    <t>Consultants</t>
  </si>
  <si>
    <t>Maintenance</t>
  </si>
  <si>
    <t>a.  Tuition</t>
  </si>
  <si>
    <t>Subtotal Other Direct Costs</t>
  </si>
  <si>
    <t>TOTAL PERSONNEL COSTS</t>
  </si>
  <si>
    <t>Salary/Wages</t>
  </si>
  <si>
    <t>TOTAL NON-PERSONNEL COSTS</t>
  </si>
  <si>
    <t>Travel</t>
  </si>
  <si>
    <t>Participant Costs</t>
  </si>
  <si>
    <t>Other Costs</t>
  </si>
  <si>
    <t>Consortium</t>
  </si>
  <si>
    <t>TOTAL DIRECT COSTS</t>
  </si>
  <si>
    <t>MTDC TOTALS</t>
  </si>
  <si>
    <t>TOTAL YEAR 1 PROJECT COSTS</t>
  </si>
  <si>
    <t>BUDGET PERIOD 2</t>
  </si>
  <si>
    <t>TOTAL YEAR 2 PROJECT COSTS</t>
  </si>
  <si>
    <t>Earliest Start Date</t>
  </si>
  <si>
    <t xml:space="preserve"> </t>
  </si>
  <si>
    <t>Public Service/Other</t>
  </si>
  <si>
    <t>Subaward  Costs</t>
  </si>
  <si>
    <t>Subaward Costs for other UW-System Institutions</t>
  </si>
  <si>
    <t>Subaward Costs</t>
  </si>
  <si>
    <t>BUDGET PERIOD 3</t>
  </si>
  <si>
    <t>TOTAL YEAR 3 PROJECT COSTS</t>
  </si>
  <si>
    <t>Latest Start Date</t>
  </si>
  <si>
    <t>TOTALS</t>
  </si>
  <si>
    <t>Period 1</t>
  </si>
  <si>
    <t>Period 2</t>
  </si>
  <si>
    <t>Period 3</t>
  </si>
  <si>
    <t>Period 4</t>
  </si>
  <si>
    <t>Period 5</t>
  </si>
  <si>
    <t>Months Funded</t>
  </si>
  <si>
    <t>ACAD</t>
  </si>
  <si>
    <t>SUMMER</t>
  </si>
  <si>
    <t>ANNUAL</t>
  </si>
  <si>
    <t>Total number of Senior Personnel:</t>
  </si>
  <si>
    <t>Totals</t>
  </si>
  <si>
    <t>Personnel Costs - TOTALS</t>
  </si>
  <si>
    <t>Salaries &amp; Wages</t>
  </si>
  <si>
    <t>Tuition Remission</t>
  </si>
  <si>
    <t>Non-Personnel Totals</t>
  </si>
  <si>
    <t xml:space="preserve"> Foreign</t>
  </si>
  <si>
    <t xml:space="preserve"> Domestic</t>
  </si>
  <si>
    <t xml:space="preserve"> Material &amp; Supplies</t>
  </si>
  <si>
    <t xml:space="preserve"> Publications</t>
  </si>
  <si>
    <t xml:space="preserve"> Consultants</t>
  </si>
  <si>
    <t xml:space="preserve"> Maintenance</t>
  </si>
  <si>
    <t xml:space="preserve"> Other</t>
  </si>
  <si>
    <t>Total Non-Personnel Costs</t>
  </si>
  <si>
    <t>Direct Costs</t>
  </si>
  <si>
    <t>Overall Project Totals</t>
  </si>
  <si>
    <t>Total Project Budget</t>
  </si>
  <si>
    <t>Graduate Assistants</t>
  </si>
  <si>
    <t>Personnel Costs - Student Personnel</t>
  </si>
  <si>
    <t>Total # of Student Hours</t>
  </si>
  <si>
    <t>Total # of Grad. Assistants</t>
  </si>
  <si>
    <t>Subtotal Subaward Costs</t>
  </si>
  <si>
    <t>Subaward Base Calculations</t>
  </si>
  <si>
    <t>F&amp;A COST BASE</t>
  </si>
  <si>
    <t>F&amp;A COSTS</t>
  </si>
  <si>
    <t>F&amp;A Costs</t>
  </si>
  <si>
    <t>F&amp;A Maximum is a set value, but in case it changes, it can be updated in the field below.</t>
  </si>
  <si>
    <t>F&amp;A Maximum</t>
  </si>
  <si>
    <t>F&amp;A (Indirect) Costs:</t>
  </si>
  <si>
    <t xml:space="preserve">  years</t>
  </si>
  <si>
    <r>
      <t xml:space="preserve">  months     </t>
    </r>
    <r>
      <rPr>
        <b/>
        <sz val="10"/>
        <color indexed="8"/>
        <rFont val="Arial"/>
        <family val="2"/>
      </rPr>
      <t>OR</t>
    </r>
  </si>
  <si>
    <t>Inflation years before project start date</t>
  </si>
  <si>
    <t>Cum Sub Amts</t>
  </si>
  <si>
    <t>Sponsor:</t>
  </si>
  <si>
    <t>Funding Type:</t>
  </si>
  <si>
    <t>After completing this worksheet, please use the tabs below to continue on to the next sheet.</t>
  </si>
  <si>
    <t>Notes</t>
  </si>
  <si>
    <t>Person-Hours Per Month</t>
  </si>
  <si>
    <t>This page is for notes, additional calculations, and other details related to the budget</t>
  </si>
  <si>
    <t>Default rate; change if desired</t>
  </si>
  <si>
    <t>Year 6</t>
  </si>
  <si>
    <t>Period 6</t>
  </si>
  <si>
    <t>BUDGET PERIOD 4</t>
  </si>
  <si>
    <t>BUDGET PERIOD 5</t>
  </si>
  <si>
    <t>BUDGET PERIOD 6</t>
  </si>
  <si>
    <t>End Date:</t>
  </si>
  <si>
    <t>"Other" F&amp;A Base Calculations</t>
  </si>
  <si>
    <t>Salaries/Wages</t>
  </si>
  <si>
    <t>Fringes</t>
  </si>
  <si>
    <t>Equyipment</t>
  </si>
  <si>
    <t>Non-UW Subaward Costs</t>
  </si>
  <si>
    <t>Non-UW Subawards &gt;$25K</t>
  </si>
  <si>
    <t>Project Duration:</t>
  </si>
  <si>
    <t xml:space="preserve">The amount to the right is calculated based on information entered in the Graduate Assistant section </t>
  </si>
  <si>
    <t>Working within the Workbook:</t>
  </si>
  <si>
    <t>Working within the Worksheets:</t>
  </si>
  <si>
    <t>DETAILED INSTRUCTIONS
UWM BUDGET DEVELOPMENT TOOL</t>
  </si>
  <si>
    <t>A. NOTES TAB</t>
  </si>
  <si>
    <t>Use this spreadsheet for notes, additional calculations, and other details related to the budget.  Nothing in the notes spreadsheet will link to any of the other spreadsheets in the Budget Tool.</t>
  </si>
  <si>
    <t>B. PROJECT DATA TAB</t>
  </si>
  <si>
    <t>C. BUDGET PERIOD 1 TAB</t>
  </si>
  <si>
    <t xml:space="preserve">1. Personnel Costs – Non-Student Personnel </t>
  </si>
  <si>
    <t xml:space="preserve">2. Personnel Costs – Student Personnel – Graduate Assistant </t>
  </si>
  <si>
    <t>3. Student Hourly Personnel</t>
  </si>
  <si>
    <t>4. Non-Personnel Costs</t>
  </si>
  <si>
    <t>a. Equipment or Other Capital Purchase or Rental</t>
  </si>
  <si>
    <t>b. Travel</t>
  </si>
  <si>
    <t>c. Participant Costs</t>
  </si>
  <si>
    <t>d. Subaward Costs (includes subagreements and subcontracts)</t>
  </si>
  <si>
    <t xml:space="preserve">A subaward is a cooperative arrangement by which another institution (subawardee) receives funding to perform a portion of a project proposed by/awarded to UWM (awardee).  F&amp;A (indirect) costs are handled differently depending on whether the subawardee is another UW System institution or not. Therefore subawards to Non-UW institutions and subawards to other UW System institutions must be listed separately.
</t>
  </si>
  <si>
    <t xml:space="preserve">Non-UW Subaward Costs </t>
  </si>
  <si>
    <t>Subaward Costs for other UW System Institutions</t>
  </si>
  <si>
    <t>e. Other Direct Costs – This section includes several categories of costs not included in the above sections</t>
  </si>
  <si>
    <t xml:space="preserve">D. BUDGET PERIOD 2-6 TABS </t>
  </si>
  <si>
    <t>For each additional budget period, click the appropriate the Budget Period tab and repeat all steps as described for Budget Period 1 to complete budget periods 2-6 as needed.</t>
  </si>
  <si>
    <t>E. CUMULATIVE TAB</t>
  </si>
  <si>
    <t>F. TOTALS TAB</t>
  </si>
  <si>
    <r>
      <rPr>
        <b/>
        <sz val="11"/>
        <rFont val="Times New Roman"/>
        <family val="1"/>
      </rPr>
      <t>1.</t>
    </r>
    <r>
      <rPr>
        <sz val="11"/>
        <rFont val="Times New Roman"/>
        <family val="1"/>
      </rPr>
      <t xml:space="preserve"> </t>
    </r>
    <r>
      <rPr>
        <u/>
        <sz val="11"/>
        <rFont val="Times New Roman"/>
        <family val="1"/>
      </rPr>
      <t>PI:</t>
    </r>
    <r>
      <rPr>
        <sz val="11"/>
        <rFont val="Times New Roman"/>
        <family val="1"/>
      </rPr>
      <t xml:space="preserve"> Enter the name of the principal investigator.
</t>
    </r>
    <r>
      <rPr>
        <b/>
        <sz val="11"/>
        <rFont val="Times New Roman"/>
        <family val="1"/>
      </rPr>
      <t>2.</t>
    </r>
    <r>
      <rPr>
        <sz val="11"/>
        <rFont val="Times New Roman"/>
        <family val="1"/>
      </rPr>
      <t xml:space="preserve"> </t>
    </r>
    <r>
      <rPr>
        <u/>
        <sz val="11"/>
        <rFont val="Times New Roman"/>
        <family val="1"/>
      </rPr>
      <t>Sponsor:</t>
    </r>
    <r>
      <rPr>
        <sz val="11"/>
        <rFont val="Times New Roman"/>
        <family val="1"/>
      </rPr>
      <t xml:space="preserve"> Enter the name of the agency or company that will fund the project.
</t>
    </r>
    <r>
      <rPr>
        <b/>
        <sz val="11"/>
        <rFont val="Times New Roman"/>
        <family val="1"/>
      </rPr>
      <t>Example:</t>
    </r>
    <r>
      <rPr>
        <sz val="11"/>
        <rFont val="Times New Roman"/>
        <family val="1"/>
      </rPr>
      <t xml:space="preserve"> National Institutes of Health
</t>
    </r>
    <r>
      <rPr>
        <b/>
        <sz val="11"/>
        <rFont val="Times New Roman"/>
        <family val="1"/>
      </rPr>
      <t>3.</t>
    </r>
    <r>
      <rPr>
        <sz val="11"/>
        <rFont val="Times New Roman"/>
        <family val="1"/>
      </rPr>
      <t xml:space="preserve"> </t>
    </r>
    <r>
      <rPr>
        <u/>
        <sz val="11"/>
        <rFont val="Times New Roman"/>
        <family val="1"/>
      </rPr>
      <t>Working Title:</t>
    </r>
    <r>
      <rPr>
        <sz val="11"/>
        <rFont val="Times New Roman"/>
        <family val="1"/>
      </rPr>
      <t xml:space="preserve"> Enter the title of your project.
</t>
    </r>
    <r>
      <rPr>
        <b/>
        <sz val="11"/>
        <rFont val="Times New Roman"/>
        <family val="1"/>
      </rPr>
      <t>4.</t>
    </r>
    <r>
      <rPr>
        <sz val="11"/>
        <rFont val="Times New Roman"/>
        <family val="1"/>
      </rPr>
      <t xml:space="preserve"> </t>
    </r>
    <r>
      <rPr>
        <u/>
        <sz val="11"/>
        <rFont val="Times New Roman"/>
        <family val="1"/>
      </rPr>
      <t>Proposed Begin Date:</t>
    </r>
    <r>
      <rPr>
        <sz val="11"/>
        <rFont val="Times New Roman"/>
        <family val="1"/>
      </rPr>
      <t xml:space="preserve"> Enter the date your project will begin. 
</t>
    </r>
    <r>
      <rPr>
        <b/>
        <sz val="11"/>
        <rFont val="Times New Roman"/>
        <family val="1"/>
      </rPr>
      <t>5.</t>
    </r>
    <r>
      <rPr>
        <sz val="11"/>
        <rFont val="Times New Roman"/>
        <family val="1"/>
      </rPr>
      <t xml:space="preserve"> </t>
    </r>
    <r>
      <rPr>
        <u/>
        <sz val="11"/>
        <rFont val="Times New Roman"/>
        <family val="1"/>
      </rPr>
      <t>Project Duration:</t>
    </r>
    <r>
      <rPr>
        <sz val="11"/>
        <rFont val="Times New Roman"/>
        <family val="1"/>
      </rPr>
      <t xml:space="preserve">  Enter the number of months OR years for which you are requesting funding.
</t>
    </r>
    <r>
      <rPr>
        <b/>
        <sz val="11"/>
        <rFont val="Times New Roman"/>
        <family val="1"/>
      </rPr>
      <t>6.</t>
    </r>
    <r>
      <rPr>
        <u/>
        <sz val="11"/>
        <rFont val="Times New Roman"/>
        <family val="1"/>
      </rPr>
      <t xml:space="preserve"> End Date:</t>
    </r>
    <r>
      <rPr>
        <sz val="11"/>
        <rFont val="Times New Roman"/>
        <family val="1"/>
      </rPr>
      <t xml:space="preserve"> This field will calculate based on the information entered in the “Proposed Begin Date” and “Project Duration” fields.
</t>
    </r>
    <r>
      <rPr>
        <b/>
        <sz val="11"/>
        <rFont val="Times New Roman"/>
        <family val="1"/>
      </rPr>
      <t>7.</t>
    </r>
    <r>
      <rPr>
        <sz val="11"/>
        <rFont val="Times New Roman"/>
        <family val="1"/>
      </rPr>
      <t xml:space="preserve"> </t>
    </r>
    <r>
      <rPr>
        <u/>
        <sz val="11"/>
        <rFont val="Times New Roman"/>
        <family val="1"/>
      </rPr>
      <t>Project Type:</t>
    </r>
    <r>
      <rPr>
        <sz val="11"/>
        <rFont val="Times New Roman"/>
        <family val="1"/>
      </rPr>
      <t xml:space="preserve"> Select the most descriptive project type from the dropdown list: </t>
    </r>
    <r>
      <rPr>
        <b/>
        <sz val="11"/>
        <rFont val="Times New Roman"/>
        <family val="1"/>
      </rPr>
      <t>Research</t>
    </r>
    <r>
      <rPr>
        <sz val="11"/>
        <rFont val="Times New Roman"/>
        <family val="1"/>
      </rPr>
      <t xml:space="preserve">, </t>
    </r>
    <r>
      <rPr>
        <b/>
        <sz val="11"/>
        <rFont val="Times New Roman"/>
        <family val="1"/>
      </rPr>
      <t>Instruction</t>
    </r>
    <r>
      <rPr>
        <sz val="11"/>
        <rFont val="Times New Roman"/>
        <family val="1"/>
      </rPr>
      <t xml:space="preserve">, or </t>
    </r>
    <r>
      <rPr>
        <b/>
        <sz val="11"/>
        <rFont val="Times New Roman"/>
        <family val="1"/>
      </rPr>
      <t>Public Service/Other</t>
    </r>
    <r>
      <rPr>
        <sz val="11"/>
        <rFont val="Times New Roman"/>
        <family val="1"/>
      </rPr>
      <t xml:space="preserve">.
</t>
    </r>
  </si>
  <si>
    <r>
      <rPr>
        <b/>
        <sz val="11"/>
        <rFont val="Times New Roman"/>
        <family val="1"/>
      </rPr>
      <t>a.</t>
    </r>
    <r>
      <rPr>
        <sz val="11"/>
        <rFont val="Times New Roman"/>
        <family val="1"/>
      </rPr>
      <t xml:space="preserve"> </t>
    </r>
    <r>
      <rPr>
        <b/>
        <sz val="11"/>
        <rFont val="Times New Roman"/>
        <family val="1"/>
      </rPr>
      <t>TDC</t>
    </r>
    <r>
      <rPr>
        <sz val="11"/>
        <rFont val="Times New Roman"/>
        <family val="1"/>
      </rPr>
      <t xml:space="preserve"> =  Total Direct Costs
</t>
    </r>
    <r>
      <rPr>
        <b/>
        <sz val="11"/>
        <rFont val="Times New Roman"/>
        <family val="1"/>
      </rPr>
      <t>b.</t>
    </r>
    <r>
      <rPr>
        <sz val="11"/>
        <rFont val="Times New Roman"/>
        <family val="1"/>
      </rPr>
      <t xml:space="preserve"> </t>
    </r>
    <r>
      <rPr>
        <b/>
        <sz val="11"/>
        <rFont val="Times New Roman"/>
        <family val="1"/>
      </rPr>
      <t>MTDC</t>
    </r>
    <r>
      <rPr>
        <sz val="11"/>
        <rFont val="Times New Roman"/>
        <family val="1"/>
      </rPr>
      <t xml:space="preserve"> = Modified Total Direct Costs: Certain cost categories are excluded from total direct costs prior to applying F&amp;A: equipment, tuition, participant costs (if any), space rental, and others defined in the UWM Indirect Cost Rate Agreement.
</t>
    </r>
    <r>
      <rPr>
        <b/>
        <sz val="11"/>
        <rFont val="Times New Roman"/>
        <family val="1"/>
      </rPr>
      <t>c.</t>
    </r>
    <r>
      <rPr>
        <sz val="11"/>
        <rFont val="Times New Roman"/>
        <family val="1"/>
      </rPr>
      <t xml:space="preserve"> </t>
    </r>
    <r>
      <rPr>
        <b/>
        <sz val="11"/>
        <rFont val="Times New Roman"/>
        <family val="1"/>
      </rPr>
      <t>Other</t>
    </r>
    <r>
      <rPr>
        <sz val="11"/>
        <rFont val="Times New Roman"/>
        <family val="1"/>
      </rPr>
      <t xml:space="preserve"> = Some sponsors require that certain cost categories to be excluded from the application of F&amp;A (Indirect) Costs. Click the checkbox(es) to </t>
    </r>
    <r>
      <rPr>
        <u/>
        <sz val="11"/>
        <rFont val="Times New Roman"/>
        <family val="1"/>
      </rPr>
      <t>EXCLUDE</t>
    </r>
    <r>
      <rPr>
        <sz val="11"/>
        <rFont val="Times New Roman"/>
        <family val="1"/>
      </rPr>
      <t xml:space="preserve"> cost categories from the application of F&amp;A (Indirect) Costs.
</t>
    </r>
    <r>
      <rPr>
        <b/>
        <sz val="11"/>
        <rFont val="Times New Roman"/>
        <family val="1"/>
      </rPr>
      <t>Example:</t>
    </r>
    <r>
      <rPr>
        <sz val="11"/>
        <rFont val="Times New Roman"/>
        <family val="1"/>
      </rPr>
      <t xml:space="preserve"> A sponsr does not allow F&amp;A (Indirect) costs to be applied to any cost category other than Salaries and Wages.  In this case all categories except Salaries/Wages should be checked.
</t>
    </r>
  </si>
  <si>
    <r>
      <t xml:space="preserve">For each non-student individual for whom salary is being requested in the proposal, provide the information for the following items a. - f. in Budget Period 1 even if no salary is requested until subsequent years. 
</t>
    </r>
    <r>
      <rPr>
        <b/>
        <sz val="11"/>
        <rFont val="Times New Roman"/>
        <family val="1"/>
      </rPr>
      <t>a.</t>
    </r>
    <r>
      <rPr>
        <sz val="11"/>
        <rFont val="Times New Roman"/>
        <family val="1"/>
      </rPr>
      <t xml:space="preserve"> </t>
    </r>
    <r>
      <rPr>
        <u/>
        <sz val="11"/>
        <rFont val="Times New Roman"/>
        <family val="1"/>
      </rPr>
      <t>Name:</t>
    </r>
    <r>
      <rPr>
        <sz val="11"/>
        <rFont val="Times New Roman"/>
        <family val="1"/>
      </rPr>
      <t xml:space="preserve"> Enter name in the “Name” column
</t>
    </r>
    <r>
      <rPr>
        <b/>
        <sz val="11"/>
        <rFont val="Times New Roman"/>
        <family val="1"/>
      </rPr>
      <t>b.</t>
    </r>
    <r>
      <rPr>
        <sz val="11"/>
        <rFont val="Times New Roman"/>
        <family val="1"/>
      </rPr>
      <t xml:space="preserve"> </t>
    </r>
    <r>
      <rPr>
        <u/>
        <sz val="11"/>
        <rFont val="Times New Roman"/>
        <family val="1"/>
      </rPr>
      <t>Role:</t>
    </r>
    <r>
      <rPr>
        <sz val="11"/>
        <rFont val="Times New Roman"/>
        <family val="1"/>
      </rPr>
      <t xml:space="preserve"> Select that individual’s role in the project from dropdown list: </t>
    </r>
    <r>
      <rPr>
        <b/>
        <sz val="11"/>
        <rFont val="Times New Roman"/>
        <family val="1"/>
      </rPr>
      <t>PI</t>
    </r>
    <r>
      <rPr>
        <sz val="11"/>
        <rFont val="Times New Roman"/>
        <family val="1"/>
      </rPr>
      <t xml:space="preserve">, </t>
    </r>
    <r>
      <rPr>
        <b/>
        <sz val="11"/>
        <rFont val="Times New Roman"/>
        <family val="1"/>
      </rPr>
      <t>Co-PI</t>
    </r>
    <r>
      <rPr>
        <sz val="11"/>
        <rFont val="Times New Roman"/>
        <family val="1"/>
      </rPr>
      <t xml:space="preserve">, </t>
    </r>
    <r>
      <rPr>
        <b/>
        <sz val="11"/>
        <rFont val="Times New Roman"/>
        <family val="1"/>
      </rPr>
      <t>Post Doc</t>
    </r>
    <r>
      <rPr>
        <sz val="11"/>
        <rFont val="Times New Roman"/>
        <family val="1"/>
      </rPr>
      <t xml:space="preserve">, or </t>
    </r>
    <r>
      <rPr>
        <b/>
        <sz val="11"/>
        <rFont val="Times New Roman"/>
        <family val="1"/>
      </rPr>
      <t>Other</t>
    </r>
    <r>
      <rPr>
        <sz val="11"/>
        <rFont val="Times New Roman"/>
        <family val="1"/>
      </rPr>
      <t xml:space="preserve">.
</t>
    </r>
    <r>
      <rPr>
        <b/>
        <sz val="11"/>
        <rFont val="Times New Roman"/>
        <family val="1"/>
      </rPr>
      <t>c.</t>
    </r>
    <r>
      <rPr>
        <sz val="11"/>
        <rFont val="Times New Roman"/>
        <family val="1"/>
      </rPr>
      <t xml:space="preserve"> </t>
    </r>
    <r>
      <rPr>
        <u/>
        <sz val="11"/>
        <rFont val="Times New Roman"/>
        <family val="1"/>
      </rPr>
      <t>Pay Basis:</t>
    </r>
    <r>
      <rPr>
        <sz val="11"/>
        <rFont val="Times New Roman"/>
        <family val="1"/>
      </rPr>
      <t xml:space="preserve"> Select the appropriate Pay Basis from dropdown box: </t>
    </r>
    <r>
      <rPr>
        <b/>
        <sz val="11"/>
        <rFont val="Times New Roman"/>
        <family val="1"/>
      </rPr>
      <t>Academic</t>
    </r>
    <r>
      <rPr>
        <sz val="11"/>
        <rFont val="Times New Roman"/>
        <family val="1"/>
      </rPr>
      <t xml:space="preserve">, </t>
    </r>
    <r>
      <rPr>
        <b/>
        <sz val="11"/>
        <rFont val="Times New Roman"/>
        <family val="1"/>
      </rPr>
      <t>Annual</t>
    </r>
    <r>
      <rPr>
        <sz val="11"/>
        <rFont val="Times New Roman"/>
        <family val="1"/>
      </rPr>
      <t xml:space="preserve">, </t>
    </r>
    <r>
      <rPr>
        <b/>
        <sz val="11"/>
        <rFont val="Times New Roman"/>
        <family val="1"/>
      </rPr>
      <t>Classified</t>
    </r>
    <r>
      <rPr>
        <sz val="11"/>
        <rFont val="Times New Roman"/>
        <family val="1"/>
      </rPr>
      <t xml:space="preserve">, or </t>
    </r>
    <r>
      <rPr>
        <b/>
        <sz val="11"/>
        <rFont val="Times New Roman"/>
        <family val="1"/>
      </rPr>
      <t>LTE</t>
    </r>
    <r>
      <rPr>
        <sz val="11"/>
        <rFont val="Times New Roman"/>
        <family val="1"/>
      </rPr>
      <t xml:space="preserve"> (Limited Term Employee).
</t>
    </r>
    <r>
      <rPr>
        <b/>
        <sz val="11"/>
        <rFont val="Times New Roman"/>
        <family val="1"/>
      </rPr>
      <t>d.</t>
    </r>
    <r>
      <rPr>
        <sz val="11"/>
        <rFont val="Times New Roman"/>
        <family val="1"/>
      </rPr>
      <t xml:space="preserve"> </t>
    </r>
    <r>
      <rPr>
        <u/>
        <sz val="11"/>
        <rFont val="Times New Roman"/>
        <family val="1"/>
      </rPr>
      <t>Base Pay:</t>
    </r>
    <r>
      <rPr>
        <sz val="11"/>
        <rFont val="Times New Roman"/>
        <family val="1"/>
      </rPr>
      <t xml:space="preserve"> For unclassified individuals, enter that person’s annual salary amount; for classified individuals, enter the hourly rate as the base pay, 
</t>
    </r>
    <r>
      <rPr>
        <b/>
        <sz val="11"/>
        <rFont val="Arial"/>
        <family val="2"/>
      </rPr>
      <t/>
    </r>
  </si>
  <si>
    <r>
      <rPr>
        <b/>
        <sz val="11"/>
        <rFont val="Times New Roman"/>
        <family val="1"/>
      </rPr>
      <t>e.</t>
    </r>
    <r>
      <rPr>
        <sz val="11"/>
        <rFont val="Times New Roman"/>
        <family val="1"/>
      </rPr>
      <t xml:space="preserve"> </t>
    </r>
    <r>
      <rPr>
        <u/>
        <sz val="11"/>
        <rFont val="Times New Roman"/>
        <family val="1"/>
      </rPr>
      <t>Period:</t>
    </r>
    <r>
      <rPr>
        <sz val="11"/>
        <rFont val="Times New Roman"/>
        <family val="1"/>
      </rPr>
      <t xml:space="preserve"> From the dropdown list, select the time period within which sponsor support is requested </t>
    </r>
    <r>
      <rPr>
        <b/>
        <sz val="11"/>
        <rFont val="Times New Roman"/>
        <family val="1"/>
      </rPr>
      <t>Academic Year</t>
    </r>
    <r>
      <rPr>
        <sz val="11"/>
        <rFont val="Times New Roman"/>
        <family val="1"/>
      </rPr>
      <t xml:space="preserve">, </t>
    </r>
    <r>
      <rPr>
        <b/>
        <sz val="11"/>
        <rFont val="Times New Roman"/>
        <family val="1"/>
      </rPr>
      <t>Summer</t>
    </r>
    <r>
      <rPr>
        <sz val="11"/>
        <rFont val="Times New Roman"/>
        <family val="1"/>
      </rPr>
      <t xml:space="preserve">, or </t>
    </r>
    <r>
      <rPr>
        <b/>
        <sz val="11"/>
        <rFont val="Times New Roman"/>
        <family val="1"/>
      </rPr>
      <t>Annual</t>
    </r>
    <r>
      <rPr>
        <sz val="11"/>
        <rFont val="Times New Roman"/>
        <family val="1"/>
      </rPr>
      <t xml:space="preserve">. If you request support for an individual for more than one period, you must enter information for any additional period on an additional line. 
</t>
    </r>
    <r>
      <rPr>
        <b/>
        <sz val="11"/>
        <rFont val="Times New Roman"/>
        <family val="1"/>
      </rPr>
      <t>Example:</t>
    </r>
    <r>
      <rPr>
        <sz val="11"/>
        <rFont val="Times New Roman"/>
        <family val="1"/>
      </rPr>
      <t xml:space="preserve"> If an individual on an Academic (9-month) pay basis requests support during the academic year </t>
    </r>
    <r>
      <rPr>
        <b/>
        <sz val="11"/>
        <rFont val="Times New Roman"/>
        <family val="1"/>
      </rPr>
      <t>AND</t>
    </r>
    <r>
      <rPr>
        <sz val="11"/>
        <rFont val="Times New Roman"/>
        <family val="1"/>
      </rPr>
      <t xml:space="preserve"> during the summer, information for the academic year period needs to be entered on one line and information for the summer period needs to be entered on an additional line.
The Period selected for an individual should be consistent with his/her Pay Basis. For an academic year pay basis, the Period should be either Academic or Summer. For an Annual, Classified, or LTE pay basis, the Period should be Annual.
</t>
    </r>
  </si>
  <si>
    <r>
      <rPr>
        <b/>
        <sz val="11"/>
        <rFont val="Times New Roman"/>
        <family val="1"/>
      </rPr>
      <t>f.</t>
    </r>
    <r>
      <rPr>
        <sz val="11"/>
        <rFont val="Times New Roman"/>
        <family val="1"/>
      </rPr>
      <t xml:space="preserve"> </t>
    </r>
    <r>
      <rPr>
        <u/>
        <sz val="11"/>
        <rFont val="Times New Roman"/>
        <family val="1"/>
      </rPr>
      <t># of Months:</t>
    </r>
    <r>
      <rPr>
        <sz val="11"/>
        <rFont val="Times New Roman"/>
        <family val="1"/>
      </rPr>
      <t xml:space="preserve"> Enter the number of months for which support is requested. This number must be equal to or less than the number of months in the </t>
    </r>
    <r>
      <rPr>
        <b/>
        <sz val="11"/>
        <rFont val="Times New Roman"/>
        <family val="1"/>
      </rPr>
      <t>Period</t>
    </r>
    <r>
      <rPr>
        <sz val="11"/>
        <rFont val="Times New Roman"/>
        <family val="1"/>
      </rPr>
      <t xml:space="preserve"> box. If not, the number in the </t>
    </r>
    <r>
      <rPr>
        <b/>
        <sz val="11"/>
        <rFont val="Times New Roman"/>
        <family val="1"/>
      </rPr>
      <t># of Months</t>
    </r>
    <r>
      <rPr>
        <sz val="11"/>
        <rFont val="Times New Roman"/>
        <family val="1"/>
      </rPr>
      <t xml:space="preserve"> box will display in red, indicating an error that must be corrected before proceeding.
</t>
    </r>
    <r>
      <rPr>
        <b/>
        <sz val="11"/>
        <rFont val="Times New Roman"/>
        <family val="1"/>
      </rPr>
      <t>Example</t>
    </r>
    <r>
      <rPr>
        <sz val="11"/>
        <rFont val="Times New Roman"/>
        <family val="1"/>
      </rPr>
      <t xml:space="preserve">: If you selected </t>
    </r>
    <r>
      <rPr>
        <b/>
        <sz val="11"/>
        <rFont val="Times New Roman"/>
        <family val="1"/>
      </rPr>
      <t>Academic Year</t>
    </r>
    <r>
      <rPr>
        <sz val="11"/>
        <rFont val="Times New Roman"/>
        <family val="1"/>
      </rPr>
      <t xml:space="preserve"> and entered </t>
    </r>
    <r>
      <rPr>
        <b/>
        <sz val="11"/>
        <rFont val="Times New Roman"/>
        <family val="1"/>
      </rPr>
      <t>10</t>
    </r>
    <r>
      <rPr>
        <sz val="11"/>
        <rFont val="Times New Roman"/>
        <family val="1"/>
      </rPr>
      <t xml:space="preserve"> for the number of months for which support is requested, the </t>
    </r>
    <r>
      <rPr>
        <b/>
        <sz val="11"/>
        <rFont val="Times New Roman"/>
        <family val="1"/>
      </rPr>
      <t>10</t>
    </r>
    <r>
      <rPr>
        <sz val="11"/>
        <rFont val="Times New Roman"/>
        <family val="1"/>
      </rPr>
      <t xml:space="preserve"> will display in red.
</t>
    </r>
    <r>
      <rPr>
        <b/>
        <sz val="11"/>
        <rFont val="Times New Roman"/>
        <family val="1"/>
      </rPr>
      <t>g.</t>
    </r>
    <r>
      <rPr>
        <sz val="11"/>
        <rFont val="Times New Roman"/>
        <family val="1"/>
      </rPr>
      <t xml:space="preserve"> </t>
    </r>
    <r>
      <rPr>
        <u/>
        <sz val="11"/>
        <rFont val="Times New Roman"/>
        <family val="1"/>
      </rPr>
      <t>% Effort:</t>
    </r>
    <r>
      <rPr>
        <sz val="11"/>
        <rFont val="Times New Roman"/>
        <family val="1"/>
      </rPr>
      <t xml:space="preserve"> Enter the percent of effort for which funding is being requested. The percent of effort must be equal to or less than 100%. If not, the % will display in red, indicating an error that must be corrected before proceeding.</t>
    </r>
  </si>
  <si>
    <r>
      <rPr>
        <b/>
        <sz val="11"/>
        <rFont val="Times New Roman"/>
        <family val="1"/>
      </rPr>
      <t>h.</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Person Months</t>
    </r>
    <r>
      <rPr>
        <sz val="11"/>
        <rFont val="Times New Roman"/>
        <family val="1"/>
      </rPr>
      <t xml:space="preserve">
     • </t>
    </r>
    <r>
      <rPr>
        <u/>
        <sz val="11"/>
        <rFont val="Times New Roman"/>
        <family val="1"/>
      </rPr>
      <t>Requested Salary</t>
    </r>
    <r>
      <rPr>
        <sz val="11"/>
        <rFont val="Times New Roman"/>
        <family val="1"/>
      </rPr>
      <t xml:space="preserve">
     • </t>
    </r>
    <r>
      <rPr>
        <u/>
        <sz val="11"/>
        <rFont val="Times New Roman"/>
        <family val="1"/>
      </rPr>
      <t>Fringe Rate</t>
    </r>
    <r>
      <rPr>
        <sz val="11"/>
        <rFont val="Times New Roman"/>
        <family val="1"/>
      </rPr>
      <t xml:space="preserve">
     • </t>
    </r>
    <r>
      <rPr>
        <u/>
        <sz val="11"/>
        <rFont val="Times New Roman"/>
        <family val="1"/>
      </rPr>
      <t>Fringe Benefits</t>
    </r>
    <r>
      <rPr>
        <sz val="11"/>
        <rFont val="Times New Roman"/>
        <family val="1"/>
      </rPr>
      <t xml:space="preserve">
     • </t>
    </r>
    <r>
      <rPr>
        <u/>
        <sz val="11"/>
        <rFont val="Times New Roman"/>
        <family val="1"/>
      </rPr>
      <t>Row Total</t>
    </r>
    <r>
      <rPr>
        <sz val="11"/>
        <rFont val="Times New Roman"/>
        <family val="1"/>
      </rPr>
      <t xml:space="preserve">
</t>
    </r>
    <r>
      <rPr>
        <b/>
        <sz val="11"/>
        <rFont val="Times New Roman"/>
        <family val="1"/>
      </rPr>
      <t>i.</t>
    </r>
    <r>
      <rPr>
        <sz val="11"/>
        <rFont val="Times New Roman"/>
        <family val="1"/>
      </rPr>
      <t xml:space="preserve"> If you request support for an individual for more than one period, you must enter information for any additional period on an additional line. 
</t>
    </r>
    <r>
      <rPr>
        <b/>
        <sz val="11"/>
        <rFont val="Times New Roman"/>
        <family val="1"/>
      </rPr>
      <t>Example:</t>
    </r>
    <r>
      <rPr>
        <sz val="11"/>
        <rFont val="Times New Roman"/>
        <family val="1"/>
      </rPr>
      <t xml:space="preserve"> If an individual on an Academic (9-month) pay basis requests support during the academic year </t>
    </r>
    <r>
      <rPr>
        <b/>
        <sz val="11"/>
        <rFont val="Times New Roman"/>
        <family val="1"/>
      </rPr>
      <t>AND</t>
    </r>
    <r>
      <rPr>
        <sz val="11"/>
        <rFont val="Times New Roman"/>
        <family val="1"/>
      </rPr>
      <t xml:space="preserve"> during the summer, information for the academic year period needs to be entered on one line and information for the summer period needs to be entered on an additional line.</t>
    </r>
  </si>
  <si>
    <r>
      <rPr>
        <b/>
        <sz val="11"/>
        <rFont val="Times New Roman"/>
        <family val="1"/>
      </rPr>
      <t>1.</t>
    </r>
    <r>
      <rPr>
        <sz val="11"/>
        <rFont val="Times New Roman"/>
        <family val="1"/>
      </rPr>
      <t xml:space="preserve"> List each item that individually costs $5,000 or more and has a useful life of more than one year. 
</t>
    </r>
    <r>
      <rPr>
        <b/>
        <sz val="11"/>
        <rFont val="Times New Roman"/>
        <family val="1"/>
      </rPr>
      <t>2.</t>
    </r>
    <r>
      <rPr>
        <sz val="11"/>
        <rFont val="Times New Roman"/>
        <family val="1"/>
      </rPr>
      <t xml:space="preserve"> This definition also includes construction/fabrication parts for a unit that once constructed will have a value of $5,000 or more as well as permanent additions to libraries. Such items should be listed in this section.
</t>
    </r>
    <r>
      <rPr>
        <b/>
        <u/>
        <sz val="11"/>
        <rFont val="Times New Roman"/>
        <family val="1"/>
      </rPr>
      <t>NOTES:</t>
    </r>
    <r>
      <rPr>
        <sz val="11"/>
        <rFont val="Times New Roman"/>
        <family val="1"/>
      </rPr>
      <t xml:space="preserve"> 
</t>
    </r>
  </si>
  <si>
    <r>
      <rPr>
        <b/>
        <sz val="11"/>
        <rFont val="Times New Roman"/>
        <family val="1"/>
      </rPr>
      <t>1.</t>
    </r>
    <r>
      <rPr>
        <sz val="11"/>
        <rFont val="Times New Roman"/>
        <family val="1"/>
      </rPr>
      <t xml:space="preserve"> </t>
    </r>
    <r>
      <rPr>
        <u/>
        <sz val="11"/>
        <rFont val="Times New Roman"/>
        <family val="1"/>
      </rPr>
      <t>Domestic:</t>
    </r>
    <r>
      <rPr>
        <sz val="11"/>
        <rFont val="Times New Roman"/>
        <family val="1"/>
      </rPr>
      <t xml:space="preserve"> - Pertains to travel within the U.S., Canada, Mexico, or U.S. territories.  Enter city, state, and country of destination(s) and enter the total cost for transportation, lodging, meals, and other travel-related costs necessary to conduct the project and/or to attend professional meetings.
</t>
    </r>
    <r>
      <rPr>
        <b/>
        <sz val="11"/>
        <rFont val="Times New Roman"/>
        <family val="1"/>
      </rPr>
      <t>2.</t>
    </r>
    <r>
      <rPr>
        <sz val="11"/>
        <rFont val="Times New Roman"/>
        <family val="1"/>
      </rPr>
      <t xml:space="preserve"> </t>
    </r>
    <r>
      <rPr>
        <u/>
        <sz val="11"/>
        <rFont val="Times New Roman"/>
        <family val="1"/>
      </rPr>
      <t>Foreign:</t>
    </r>
    <r>
      <rPr>
        <sz val="11"/>
        <rFont val="Times New Roman"/>
        <family val="1"/>
      </rPr>
      <t xml:space="preserve"> – If travel includes destinations outside the U.S., Canada, Mexico, or U.S. territories.  Enter city, state, and country of destination(s) and enter the total cost for transportation, lodging, meals, and other travel-related costs necessary to conduct the project and/or to attend professional meetings.
</t>
    </r>
  </si>
  <si>
    <r>
      <rPr>
        <b/>
        <sz val="11"/>
        <rFont val="Times New Roman"/>
        <family val="1"/>
      </rPr>
      <t>1.</t>
    </r>
    <r>
      <rPr>
        <sz val="11"/>
        <rFont val="Times New Roman"/>
        <family val="1"/>
      </rPr>
      <t xml:space="preserve"> Enter the name of each non-UW institution to be issued a subaward and the cost for the first budget period. </t>
    </r>
  </si>
  <si>
    <r>
      <rPr>
        <b/>
        <sz val="11"/>
        <rFont val="Times New Roman"/>
        <family val="1"/>
      </rPr>
      <t>2.</t>
    </r>
    <r>
      <rPr>
        <sz val="11"/>
        <rFont val="Times New Roman"/>
        <family val="1"/>
      </rPr>
      <t xml:space="preserve"> Enter the name of each UW institution to be issued a subaward and the cost for the first budget period. Enter the name of each UW institution to be issued a subaward and the cost for the first budget period.</t>
    </r>
  </si>
  <si>
    <r>
      <t xml:space="preserve">If a subawardee will be included in a future budget period, but not in the first one, list the name of the subawardee and enter $0 for the cost for the first budget period. Costs for any year of a subaward must be entered on the same line in each budget period.
If an institution or entity is NOT performing a portion of the work but simply providing a service or consulting activity, use an Academic Support Services Agreement or purchase order instead of a subaward. Such costs should be included in the </t>
    </r>
    <r>
      <rPr>
        <b/>
        <sz val="11"/>
        <rFont val="Times New Roman"/>
        <family val="1"/>
      </rPr>
      <t>Other Direct Costs</t>
    </r>
    <r>
      <rPr>
        <sz val="11"/>
        <rFont val="Times New Roman"/>
        <family val="1"/>
      </rPr>
      <t xml:space="preserve"> section, not in this Subaward section.
</t>
    </r>
  </si>
  <si>
    <r>
      <rPr>
        <b/>
        <sz val="11"/>
        <rFont val="Times New Roman"/>
        <family val="1"/>
      </rPr>
      <t>1.</t>
    </r>
    <r>
      <rPr>
        <sz val="11"/>
        <rFont val="Times New Roman"/>
        <family val="1"/>
      </rPr>
      <t xml:space="preserve"> </t>
    </r>
    <r>
      <rPr>
        <u/>
        <sz val="11"/>
        <rFont val="Times New Roman"/>
        <family val="1"/>
      </rPr>
      <t>Materials &amp; Supplies:</t>
    </r>
    <r>
      <rPr>
        <sz val="11"/>
        <rFont val="Times New Roman"/>
        <family val="1"/>
      </rPr>
      <t xml:space="preserve"> Describe and enter the total cost of items that individually cost less than $5,000, or items with a useful life of less than one year. 
</t>
    </r>
    <r>
      <rPr>
        <b/>
        <sz val="11"/>
        <rFont val="Times New Roman"/>
        <family val="1"/>
      </rPr>
      <t>Examples:</t>
    </r>
    <r>
      <rPr>
        <sz val="11"/>
        <rFont val="Times New Roman"/>
        <family val="1"/>
      </rPr>
      <t xml:space="preserve"> Glassware, microscopes, desktop or laptop computers, printers.
</t>
    </r>
    <r>
      <rPr>
        <b/>
        <sz val="11"/>
        <rFont val="Times New Roman"/>
        <family val="1"/>
      </rPr>
      <t>2.</t>
    </r>
    <r>
      <rPr>
        <sz val="11"/>
        <rFont val="Times New Roman"/>
        <family val="1"/>
      </rPr>
      <t xml:space="preserve"> </t>
    </r>
    <r>
      <rPr>
        <u/>
        <sz val="11"/>
        <rFont val="Times New Roman"/>
        <family val="1"/>
      </rPr>
      <t>Publication Costs:</t>
    </r>
    <r>
      <rPr>
        <sz val="11"/>
        <rFont val="Times New Roman"/>
        <family val="1"/>
      </rPr>
      <t xml:space="preserve"> Page charges for journal publications, graphics, binding materials, etc.
</t>
    </r>
    <r>
      <rPr>
        <b/>
        <sz val="11"/>
        <rFont val="Times New Roman"/>
        <family val="1"/>
      </rPr>
      <t>3.</t>
    </r>
    <r>
      <rPr>
        <sz val="11"/>
        <rFont val="Times New Roman"/>
        <family val="1"/>
      </rPr>
      <t xml:space="preserve"> </t>
    </r>
    <r>
      <rPr>
        <u/>
        <sz val="11"/>
        <rFont val="Times New Roman"/>
        <family val="1"/>
      </rPr>
      <t>Consultants:</t>
    </r>
    <r>
      <rPr>
        <sz val="11"/>
        <rFont val="Times New Roman"/>
        <family val="1"/>
      </rPr>
      <t xml:space="preserve"> Non-UW System employees hired to consult on a specific aspect of the project. Services of UW System employees should be acquired through a UW System Institution subaward.
</t>
    </r>
    <r>
      <rPr>
        <b/>
        <sz val="11"/>
        <rFont val="Times New Roman"/>
        <family val="1"/>
      </rPr>
      <t>4.</t>
    </r>
    <r>
      <rPr>
        <sz val="11"/>
        <rFont val="Times New Roman"/>
        <family val="1"/>
      </rPr>
      <t xml:space="preserve"> </t>
    </r>
    <r>
      <rPr>
        <u/>
        <sz val="11"/>
        <rFont val="Times New Roman"/>
        <family val="1"/>
      </rPr>
      <t>Maintenance:</t>
    </r>
    <r>
      <rPr>
        <sz val="11"/>
        <rFont val="Times New Roman"/>
        <family val="1"/>
      </rPr>
      <t xml:space="preserve"> Maintenance or service contracts to maintain or repair equipment or various machines.
</t>
    </r>
    <r>
      <rPr>
        <b/>
        <sz val="11"/>
        <rFont val="Times New Roman"/>
        <family val="1"/>
      </rPr>
      <t>5.</t>
    </r>
    <r>
      <rPr>
        <sz val="11"/>
        <rFont val="Times New Roman"/>
        <family val="1"/>
      </rPr>
      <t xml:space="preserve"> </t>
    </r>
    <r>
      <rPr>
        <u/>
        <sz val="11"/>
        <rFont val="Times New Roman"/>
        <family val="1"/>
      </rPr>
      <t>Other:</t>
    </r>
    <r>
      <rPr>
        <sz val="11"/>
        <rFont val="Times New Roman"/>
        <family val="1"/>
      </rPr>
      <t xml:space="preserve">
</t>
    </r>
  </si>
  <si>
    <r>
      <rPr>
        <b/>
        <sz val="11"/>
        <rFont val="Times New Roman"/>
        <family val="1"/>
      </rPr>
      <t>a.</t>
    </r>
    <r>
      <rPr>
        <sz val="11"/>
        <rFont val="Times New Roman"/>
        <family val="1"/>
      </rPr>
      <t xml:space="preserve"> </t>
    </r>
    <r>
      <rPr>
        <u/>
        <sz val="11"/>
        <rFont val="Times New Roman"/>
        <family val="1"/>
      </rPr>
      <t>Tuition:</t>
    </r>
    <r>
      <rPr>
        <sz val="11"/>
        <rFont val="Times New Roman"/>
        <family val="1"/>
      </rPr>
      <t xml:space="preserve"> Includes resident tuition, additional resident tuition and non-resident tuition remission (NRTR) associated with graduate assistant personnel listed in the Personnel Section. These costs are calculated from information entered in the Graduate Assistant Personnel section and the results  are entered in this section.
</t>
    </r>
    <r>
      <rPr>
        <b/>
        <sz val="11"/>
        <rFont val="Times New Roman"/>
        <family val="1"/>
      </rPr>
      <t>b.</t>
    </r>
    <r>
      <rPr>
        <sz val="11"/>
        <rFont val="Times New Roman"/>
        <family val="1"/>
      </rPr>
      <t xml:space="preserve"> </t>
    </r>
    <r>
      <rPr>
        <u/>
        <sz val="11"/>
        <rFont val="Times New Roman"/>
        <family val="1"/>
      </rPr>
      <t>Other:</t>
    </r>
    <r>
      <rPr>
        <sz val="11"/>
        <rFont val="Times New Roman"/>
        <family val="1"/>
      </rPr>
      <t xml:space="preserve"> Includes animal care per diem, postage/express delivery, telephone (long distance or dedicated lines), research subject payments, computer services/software, etc.
</t>
    </r>
    <r>
      <rPr>
        <b/>
        <sz val="11"/>
        <rFont val="Times New Roman"/>
        <family val="1"/>
      </rPr>
      <t>c.</t>
    </r>
    <r>
      <rPr>
        <sz val="11"/>
        <rFont val="Times New Roman"/>
        <family val="1"/>
      </rPr>
      <t xml:space="preserve"> Additional categories may be listed in the empty lines as needed.
</t>
    </r>
  </si>
  <si>
    <r>
      <t xml:space="preserve">For each different rate of student hourly pay
</t>
    </r>
    <r>
      <rPr>
        <b/>
        <sz val="11"/>
        <rFont val="Times New Roman"/>
        <family val="1"/>
      </rPr>
      <t>a.</t>
    </r>
    <r>
      <rPr>
        <sz val="11"/>
        <rFont val="Times New Roman"/>
        <family val="1"/>
      </rPr>
      <t xml:space="preserve"> </t>
    </r>
    <r>
      <rPr>
        <u/>
        <sz val="11"/>
        <rFont val="Times New Roman"/>
        <family val="1"/>
      </rPr>
      <t>Student Hourly:</t>
    </r>
    <r>
      <rPr>
        <sz val="11"/>
        <rFont val="Times New Roman"/>
        <family val="1"/>
      </rPr>
      <t xml:space="preserve"> Enter the type of activity to be performed.
</t>
    </r>
    <r>
      <rPr>
        <b/>
        <sz val="11"/>
        <rFont val="Times New Roman"/>
        <family val="1"/>
      </rPr>
      <t>b.</t>
    </r>
    <r>
      <rPr>
        <sz val="11"/>
        <rFont val="Times New Roman"/>
        <family val="1"/>
      </rPr>
      <t xml:space="preserve"> </t>
    </r>
    <r>
      <rPr>
        <u/>
        <sz val="11"/>
        <rFont val="Times New Roman"/>
        <family val="1"/>
      </rPr>
      <t>Pay Rate Per Hour:</t>
    </r>
    <r>
      <rPr>
        <sz val="11"/>
        <rFont val="Times New Roman"/>
        <family val="1"/>
      </rPr>
      <t xml:space="preserve"> Enter the pay rate per hour.
</t>
    </r>
    <r>
      <rPr>
        <b/>
        <sz val="11"/>
        <rFont val="Times New Roman"/>
        <family val="1"/>
      </rPr>
      <t>c.</t>
    </r>
    <r>
      <rPr>
        <sz val="11"/>
        <rFont val="Times New Roman"/>
        <family val="1"/>
      </rPr>
      <t xml:space="preserve"> </t>
    </r>
    <r>
      <rPr>
        <u/>
        <sz val="11"/>
        <rFont val="Times New Roman"/>
        <family val="1"/>
      </rPr>
      <t># of Hours:</t>
    </r>
    <r>
      <rPr>
        <sz val="11"/>
        <rFont val="Times New Roman"/>
        <family val="1"/>
      </rPr>
      <t xml:space="preserve"> Enter the number of hours to be budgeted at that pay rate.
</t>
    </r>
    <r>
      <rPr>
        <b/>
        <sz val="11"/>
        <rFont val="Times New Roman"/>
        <family val="1"/>
      </rPr>
      <t>d.</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Person Months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Requested Salary</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Rate</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Benefits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Row Total</t>
    </r>
    <r>
      <rPr>
        <sz val="11"/>
        <rFont val="Times New Roman"/>
        <family val="1"/>
      </rPr>
      <t xml:space="preserve">
</t>
    </r>
  </si>
  <si>
    <r>
      <rPr>
        <b/>
        <sz val="11"/>
        <rFont val="Times New Roman"/>
        <family val="1"/>
      </rPr>
      <t>5. Total Personnel Costs</t>
    </r>
    <r>
      <rPr>
        <sz val="11"/>
        <rFont val="Times New Roman"/>
        <family val="1"/>
      </rPr>
      <t xml:space="preserve"> – Calculated subtotals for </t>
    </r>
    <r>
      <rPr>
        <b/>
        <sz val="11"/>
        <rFont val="Times New Roman"/>
        <family val="1"/>
      </rPr>
      <t>Salaries/Wages</t>
    </r>
    <r>
      <rPr>
        <sz val="11"/>
        <rFont val="Times New Roman"/>
        <family val="1"/>
      </rPr>
      <t xml:space="preserve"> and </t>
    </r>
    <r>
      <rPr>
        <b/>
        <sz val="11"/>
        <rFont val="Times New Roman"/>
        <family val="1"/>
      </rPr>
      <t>Fringe Benefits</t>
    </r>
    <r>
      <rPr>
        <sz val="11"/>
        <rFont val="Times New Roman"/>
        <family val="1"/>
      </rPr>
      <t>.</t>
    </r>
  </si>
  <si>
    <r>
      <rPr>
        <b/>
        <sz val="11"/>
        <rFont val="Times New Roman"/>
        <family val="1"/>
      </rPr>
      <t>6. Total Non-Personnel Costs</t>
    </r>
    <r>
      <rPr>
        <sz val="11"/>
        <rFont val="Times New Roman"/>
        <family val="1"/>
      </rPr>
      <t xml:space="preserve"> – Calculated subtotals for </t>
    </r>
    <r>
      <rPr>
        <b/>
        <sz val="11"/>
        <rFont val="Times New Roman"/>
        <family val="1"/>
      </rPr>
      <t>Equipment</t>
    </r>
    <r>
      <rPr>
        <sz val="11"/>
        <rFont val="Times New Roman"/>
        <family val="1"/>
      </rPr>
      <t xml:space="preserve">, </t>
    </r>
    <r>
      <rPr>
        <b/>
        <sz val="11"/>
        <rFont val="Times New Roman"/>
        <family val="1"/>
      </rPr>
      <t>Travel</t>
    </r>
    <r>
      <rPr>
        <sz val="11"/>
        <rFont val="Times New Roman"/>
        <family val="1"/>
      </rPr>
      <t xml:space="preserve">, </t>
    </r>
    <r>
      <rPr>
        <b/>
        <sz val="11"/>
        <rFont val="Times New Roman"/>
        <family val="1"/>
      </rPr>
      <t>Participant</t>
    </r>
    <r>
      <rPr>
        <sz val="11"/>
        <rFont val="Times New Roman"/>
        <family val="1"/>
      </rPr>
      <t xml:space="preserve">, </t>
    </r>
    <r>
      <rPr>
        <b/>
        <sz val="11"/>
        <rFont val="Times New Roman"/>
        <family val="1"/>
      </rPr>
      <t>Subaward</t>
    </r>
    <r>
      <rPr>
        <sz val="11"/>
        <rFont val="Times New Roman"/>
        <family val="1"/>
      </rPr>
      <t xml:space="preserve">, and </t>
    </r>
    <r>
      <rPr>
        <b/>
        <sz val="11"/>
        <rFont val="Times New Roman"/>
        <family val="1"/>
      </rPr>
      <t>Other Costs</t>
    </r>
    <r>
      <rPr>
        <sz val="11"/>
        <rFont val="Times New Roman"/>
        <family val="1"/>
      </rPr>
      <t>.</t>
    </r>
  </si>
  <si>
    <r>
      <rPr>
        <b/>
        <sz val="11"/>
        <rFont val="Times New Roman"/>
        <family val="1"/>
      </rPr>
      <t xml:space="preserve">7. Total Direct Costs </t>
    </r>
    <r>
      <rPr>
        <sz val="11"/>
        <rFont val="Times New Roman"/>
        <family val="1"/>
      </rPr>
      <t>– Calculated total direct costs for this budget period.</t>
    </r>
  </si>
  <si>
    <r>
      <rPr>
        <b/>
        <sz val="11"/>
        <rFont val="Times New Roman"/>
        <family val="1"/>
      </rPr>
      <t>8. F&amp;A Cost Base</t>
    </r>
    <r>
      <rPr>
        <sz val="11"/>
        <rFont val="Times New Roman"/>
        <family val="1"/>
      </rPr>
      <t xml:space="preserve"> – The amount on which the F&amp;A (Indirect) Costs for this budget period are calculated. This is calculated based on information specified on the Project Data sheet.</t>
    </r>
  </si>
  <si>
    <r>
      <rPr>
        <b/>
        <sz val="11"/>
        <rFont val="Times New Roman"/>
        <family val="1"/>
      </rPr>
      <t>9. F&amp;A Costs</t>
    </r>
    <r>
      <rPr>
        <sz val="11"/>
        <rFont val="Times New Roman"/>
        <family val="1"/>
      </rPr>
      <t xml:space="preserve"> – The result of multiplying the F&amp;A Cost Base by the F&amp;A Rate yielding the F&amp;A Costs for this budget period.</t>
    </r>
  </si>
  <si>
    <r>
      <rPr>
        <b/>
        <sz val="11"/>
        <rFont val="Times New Roman"/>
        <family val="1"/>
      </rPr>
      <t>10. Total Year 1 Project Costs</t>
    </r>
    <r>
      <rPr>
        <sz val="11"/>
        <rFont val="Times New Roman"/>
        <family val="1"/>
      </rPr>
      <t xml:space="preserve"> – The sum of total direct costs and F&amp;A Costs for this budget period.</t>
    </r>
  </si>
  <si>
    <t>Total Salaries, Wages and Fringe Benefits</t>
  </si>
  <si>
    <t>Stipends</t>
  </si>
  <si>
    <t>Subsistence</t>
  </si>
  <si>
    <t>F&amp;A Base</t>
  </si>
  <si>
    <t>Non-Student</t>
  </si>
  <si>
    <t>Graduate Student</t>
  </si>
  <si>
    <t>Participant Travel</t>
  </si>
  <si>
    <t>Materials/Supplies</t>
  </si>
  <si>
    <t>TOTAL PROJECT COSTS</t>
  </si>
  <si>
    <t>GENERAL INSTRUCTIONS
UWM BUDGET DEVELOPMENT TOOL</t>
  </si>
  <si>
    <t>Date</t>
  </si>
  <si>
    <t>Change</t>
  </si>
  <si>
    <t>Added "Cumulative" sheet</t>
  </si>
  <si>
    <t>Changed Periods 2-6 to derive their Role and Pay Basis, Rate from Period 1</t>
  </si>
  <si>
    <t>Changed the end-date to be automatically calculated based on the duration of the project</t>
  </si>
  <si>
    <t>Added the ability to use either YEARS or MONTHS to determine project length</t>
  </si>
  <si>
    <t>Added "Subaward Amount Totals" column in years 2-5 showing the cumulative total of the previous years subawards.</t>
  </si>
  <si>
    <t>Separated out the student fringe rate increase from the other fringe increases</t>
  </si>
  <si>
    <t>Changed the first year % increase to be calculated basd on the fiscal year in which the projects starts</t>
  </si>
  <si>
    <t>Changed wording of "CONS Base" to  "Non-UW Subawards &gt;$25K"</t>
  </si>
  <si>
    <t>Changed wording of "Subaward Costs" to  "Non-UW Subaward Costs"</t>
  </si>
  <si>
    <t>Changed F&amp;A Cost Base calculation to exclude  UW subawards on all 3 budget periods</t>
  </si>
  <si>
    <t>Yellow cells changed to purple.</t>
  </si>
  <si>
    <t>Subtracted from the project end date, so that a 1-year project that begins on July 1st will end on June 30th.</t>
  </si>
  <si>
    <t>Entered updated Rates</t>
  </si>
  <si>
    <t>Changed wording of"Agency" to "Sponsor"</t>
  </si>
  <si>
    <t>Changed wording of "Sponsor Type" to "Funding Type"</t>
  </si>
  <si>
    <t>Moved F&amp;A cost base checkboxes from the individual budget sheets to the Project Data sheet</t>
  </si>
  <si>
    <t xml:space="preserve">Added instructions at the bottom to "Continue  to next tab" </t>
  </si>
  <si>
    <t>Added person-months for student workers.</t>
  </si>
  <si>
    <t>Added section at the bottom of the rates spreadsheet for working hours/month in the event that this ever needs to be adjusted</t>
  </si>
  <si>
    <t>Removed red fonts in titles, Changed to black</t>
  </si>
  <si>
    <t>Added a blank "Notes" worksheet for entering extraneous information</t>
  </si>
  <si>
    <t>Added a sixth budget period sheet</t>
  </si>
  <si>
    <t>Added Instructions tabs</t>
  </si>
  <si>
    <t>Took budget tool "Live' and posted to web</t>
  </si>
  <si>
    <t>Changed the way drop-downs work to make spreadsheet more compatible with Office for Mac</t>
  </si>
  <si>
    <t>Saved the spreadsheed in "Maximized" view to prevent the possibility of the worksheet being larger than the screen on some computers</t>
  </si>
  <si>
    <t>Updated Stipend rates</t>
  </si>
  <si>
    <t>Fixed student person-month formatting</t>
  </si>
  <si>
    <t>Fixed calculation issues for "Other Direct Costs" were not calculating correctly</t>
  </si>
  <si>
    <t>Added built-in categories (first three lines) for "Participant Costs"</t>
  </si>
  <si>
    <t>Changed how tuition is calculated for "Non-Federal (UWM Foundation)" projects</t>
  </si>
  <si>
    <t>Fixed an error where "Non-Personnel Costs" were not being summed on the "Totals" sheet</t>
  </si>
  <si>
    <t>Corrected calculation omission on "Totals" worksheet for "Total Non-Personnel Costs"</t>
  </si>
  <si>
    <t>Cells in "Participant Costs" weren't merged properly after addition of pre-set fields in lines 1-3.  Merged cells.</t>
  </si>
  <si>
    <t>Set spreadsheet to "calculate as displayed", omitting fractions of cents that were causing some calculation confusion</t>
  </si>
  <si>
    <t>Updated Tuition rates</t>
  </si>
  <si>
    <t>Updated Fringe rates, changed fiscal year rollover dates</t>
  </si>
  <si>
    <t>Updated Tuition rates, merged cells "Participant Costs" section of "Period 1" budget that weren't properly merged</t>
  </si>
  <si>
    <t>Equipment or Other Capital Purchase (Each Item &gt;$5000) or Lease of Space</t>
  </si>
  <si>
    <t>Participant Costs, e.g., for NSF Conference Grants (Use Other Direct Costs area for Subject Payments)</t>
  </si>
  <si>
    <t>b.  Subject Payments</t>
  </si>
  <si>
    <t>c.  Other</t>
  </si>
  <si>
    <t>Updated Fringe rates, updated Equipment and Participant Costs headings, added line for Subject Payments, added PI name and project title to Totals page.  Changed fiscal year start and rollover dates.</t>
  </si>
  <si>
    <t>INDIRECT COST BASE</t>
  </si>
  <si>
    <t>Updated Tuition rates, added "Indirect Cost Base" line to Totals page, changed colors in an attempt to make the printouts easier to read after being saved on a Mac due to pallette issues</t>
  </si>
  <si>
    <t>TOTAL YEAR 4 PROJECT COSTS</t>
  </si>
  <si>
    <t>TOTAL YEAR 5 PROJECT COSTS</t>
  </si>
  <si>
    <t>TOTAL YEAR 6 PROJECT COSTS</t>
  </si>
  <si>
    <t>The "Indirect Cost Base" on the totals page was inadvertently getting added to the budget total.  Fixed this calculation error. Fixed year labeling errors in years 4-6 (Thanks Greg).</t>
  </si>
  <si>
    <t>Modular Budget Summary</t>
  </si>
  <si>
    <t>Budget Tool Details</t>
  </si>
  <si>
    <t>Modular Conversion</t>
  </si>
  <si>
    <t>Materials / Supplies</t>
  </si>
  <si>
    <t>Subawards</t>
  </si>
  <si>
    <t>Modular Increment:</t>
  </si>
  <si>
    <t>Salary Costs</t>
  </si>
  <si>
    <t>Total Personnel Costs</t>
  </si>
  <si>
    <t>CORPORATE / INDUSTRIAL SPONSOR BUDGET</t>
  </si>
  <si>
    <t>Start Date:</t>
  </si>
  <si>
    <t>Project Title:</t>
  </si>
  <si>
    <t>PI Name:</t>
  </si>
  <si>
    <t>MDC</t>
  </si>
  <si>
    <t>Total Direct Costs (TDC)</t>
  </si>
  <si>
    <t>Consortium F&amp;A</t>
  </si>
  <si>
    <t>TDC less Consortium F&amp;A</t>
  </si>
  <si>
    <t>Modular Direct Costs less Consortium F&amp;A</t>
  </si>
  <si>
    <t>Total Direct Costs Requested from NIH</t>
  </si>
  <si>
    <t>Modular MTDC Base</t>
  </si>
  <si>
    <t>Modular F&amp;A</t>
  </si>
  <si>
    <t>Total Requested from NIH</t>
  </si>
  <si>
    <t>CUMULATIVE</t>
  </si>
  <si>
    <t>Total Cost</t>
  </si>
  <si>
    <t>Direct Cost</t>
  </si>
  <si>
    <t>Indirect Cost</t>
  </si>
  <si>
    <t>After entering your sub-award direct costs data in the table below, use the new "TDC less Consortium F&amp;A" amount computed above to select the appropriate Modular Direct Cost amount from the dropdown list. Please note that budgets with TDC costs less consortium F&amp;A in excess of $250,000 per year do not qualify for the modular format and must be submitted as detailed budgets.</t>
  </si>
  <si>
    <t>Choose the appropriate number of modules based on "TDC less Consortium F&amp;A" above.</t>
  </si>
  <si>
    <t>Subaward Description</t>
  </si>
  <si>
    <t>I. RATES TAB</t>
  </si>
  <si>
    <t>G. MODULAR TAB</t>
  </si>
  <si>
    <t>H. INDUSTRY BUDGET TAB</t>
  </si>
  <si>
    <t>This worksheet contains all the rates used in the Proposal Budget Form. It is informational only and cannot be changed by the user. These rates will be updated as new information is received.  There are no fields to fill out in this worksheet.</t>
  </si>
  <si>
    <t>This worksheet provides a total budget in a format that rolls up the F&amp;A into the budget summary. There are no fields to fill out in this worksheet.</t>
  </si>
  <si>
    <t>This worksheet provides summary of the budget amounts with detail by personnel and budget category for all the budget periods.  There are no fields to fill out in this worksheet.</t>
  </si>
  <si>
    <r>
      <rPr>
        <b/>
        <sz val="11"/>
        <rFont val="Times New Roman"/>
        <family val="1"/>
      </rPr>
      <t xml:space="preserve">1.  </t>
    </r>
    <r>
      <rPr>
        <sz val="11"/>
        <rFont val="Times New Roman"/>
        <family val="1"/>
      </rPr>
      <t xml:space="preserve">After completing the detailed budget tabs enter the direct costs for each sub-award for each budget year in the table at the bottom of the page
</t>
    </r>
    <r>
      <rPr>
        <b/>
        <sz val="11"/>
        <rFont val="Times New Roman"/>
        <family val="1"/>
      </rPr>
      <t>2.</t>
    </r>
    <r>
      <rPr>
        <sz val="11"/>
        <rFont val="Times New Roman"/>
        <family val="1"/>
      </rPr>
      <t xml:space="preserve">  The tool will calculate the TDC less the Consortium F&amp;A from the data entered in the table below. 
</t>
    </r>
    <r>
      <rPr>
        <b/>
        <sz val="11"/>
        <rFont val="Times New Roman"/>
        <family val="1"/>
      </rPr>
      <t>3.</t>
    </r>
    <r>
      <rPr>
        <sz val="11"/>
        <rFont val="Times New Roman"/>
        <family val="1"/>
      </rPr>
      <t xml:space="preserve">  Choose the appropriate number of modules using the drop down based on TDC less Consortium F&amp;A above. 
</t>
    </r>
    <r>
      <rPr>
        <b/>
        <sz val="11"/>
        <rFont val="Times New Roman"/>
        <family val="1"/>
      </rPr>
      <t>4.</t>
    </r>
    <r>
      <rPr>
        <sz val="11"/>
        <rFont val="Times New Roman"/>
        <family val="1"/>
      </rPr>
      <t xml:space="preserve">  The tool will calculate the appropriate numbers to transfer to the NIH budget form. </t>
    </r>
  </si>
  <si>
    <t xml:space="preserve">Added MODULAR and INDUSTRY worksheets. Updated instruction sheets.  Added Prime Sponsor field.  Updated Fringe and Tuition rates. Changed fiscal year start and rollover dates.  </t>
  </si>
  <si>
    <t>Corrected a calculation problem affecting Year 3 modular subawards on the "Modular" worksheet.</t>
  </si>
  <si>
    <t>Updated Facilities and Administrative (F&amp;A) cost rates. Linked F&amp;A rates on Project Data page to F&amp;A values on Rates worksheet</t>
  </si>
  <si>
    <t>StartDate Tuition Increase %</t>
  </si>
  <si>
    <t>Annual F&amp;A Increase %</t>
  </si>
  <si>
    <t>StartDate F&amp;A Increase %</t>
  </si>
  <si>
    <t>StartDate RA Increase %</t>
  </si>
  <si>
    <t>StartDate PA Increase %</t>
  </si>
  <si>
    <t>Budget Period 1
RA &amp; PA</t>
  </si>
  <si>
    <t>Area</t>
  </si>
  <si>
    <t>RA/PA</t>
  </si>
  <si>
    <t>Length &amp; %</t>
  </si>
  <si>
    <t>Academic Affairs</t>
  </si>
  <si>
    <t>Architecture &amp; Urban Planning</t>
  </si>
  <si>
    <t>Continuing Education</t>
  </si>
  <si>
    <t>Education</t>
  </si>
  <si>
    <t>Engineering and Applied Sciences</t>
  </si>
  <si>
    <t>Freshwater Sciences</t>
  </si>
  <si>
    <t>Graduate School - other</t>
  </si>
  <si>
    <t>Health Sciences</t>
  </si>
  <si>
    <t>Information Studies</t>
  </si>
  <si>
    <t>L&amp;S - Anthropology</t>
  </si>
  <si>
    <t>L&amp;S - Art History</t>
  </si>
  <si>
    <t>L&amp;S - Biosciences</t>
  </si>
  <si>
    <t>L&amp;S - Chemistry</t>
  </si>
  <si>
    <t>L&amp;S - Communication</t>
  </si>
  <si>
    <t>L&amp;S - Culture &amp; Communities</t>
  </si>
  <si>
    <t>L&amp;S - Economics</t>
  </si>
  <si>
    <t>L&amp;S - English</t>
  </si>
  <si>
    <t>L&amp;S - Field Station</t>
  </si>
  <si>
    <t>L&amp;S - Forensic Studies</t>
  </si>
  <si>
    <t>L&amp;S - French, Italian, Comp Lit</t>
  </si>
  <si>
    <t>L&amp;S - Geography</t>
  </si>
  <si>
    <t>L&amp;S - Geosciences</t>
  </si>
  <si>
    <t>L&amp;S - History</t>
  </si>
  <si>
    <t>L&amp;S - Journalism &amp; Mass Comm</t>
  </si>
  <si>
    <t>L&amp;S - Languages Res, Ctr</t>
  </si>
  <si>
    <t>L&amp;S - Linguistics</t>
  </si>
  <si>
    <t>L&amp;S - Philosophy</t>
  </si>
  <si>
    <t>L&amp;S - Physics</t>
  </si>
  <si>
    <t>L&amp;S - Political Science</t>
  </si>
  <si>
    <t>L&amp;S - Psychology</t>
  </si>
  <si>
    <t>L&amp;S - Sociology</t>
  </si>
  <si>
    <t>L&amp;S - Spanish &amp; Portuguese</t>
  </si>
  <si>
    <t>L&amp;S - Urban Studies</t>
  </si>
  <si>
    <t>L&amp;S - Women's Studies</t>
  </si>
  <si>
    <t>Nursing</t>
  </si>
  <si>
    <t>RA Stipend - 50% Acad</t>
  </si>
  <si>
    <t>Research Assistant</t>
  </si>
  <si>
    <t>Project Assistant - Doctoral</t>
  </si>
  <si>
    <t>Project Assistant - Non-Doctoral</t>
  </si>
  <si>
    <t>Academic Year - 33%</t>
  </si>
  <si>
    <t>Academic Year - 50%</t>
  </si>
  <si>
    <t>Annual Basis - 33%</t>
  </si>
  <si>
    <t>Annual Basis - 50%</t>
  </si>
  <si>
    <t>Graduate Assistants (select options from drop-downs)</t>
  </si>
  <si>
    <t>&lt;choose RA/PA&gt;</t>
  </si>
  <si>
    <t>&lt;choose duration/%&gt;</t>
  </si>
  <si>
    <t>&lt;choose the administering department&gt;</t>
  </si>
  <si>
    <t>Budget Period 2
RA &amp; PA</t>
  </si>
  <si>
    <t>Budget Period 3
RA &amp; PA</t>
  </si>
  <si>
    <t>Budget Period 4
RA &amp; PA</t>
  </si>
  <si>
    <t>Budget Period 5
RA &amp; PA</t>
  </si>
  <si>
    <t>Budget Period 6
RA &amp; PA</t>
  </si>
  <si>
    <t>Project Dates:</t>
  </si>
  <si>
    <t xml:space="preserve">Updated RA rate calculations and associated drop-downs.  Added title and annual date ranges to each budget period.  </t>
  </si>
  <si>
    <t>Fixed startdate tuition increase for projects beginning more than one year from current.  Changed print area for modular worksheet.</t>
  </si>
  <si>
    <t xml:space="preserve">Changed fiscal year start and rollover dates.  </t>
  </si>
  <si>
    <t xml:space="preserve">                                                                                                                                                                                                                                                                                                                                                                                                                                                                                                                                                                                                                                                                                                                                                                                                                                                                                                                                                                                                                                                                                                                                                                                                                                                                                                                                                                                                                                                                                                                                                                                                                                                                                                                                                                                                                                                                                                                                                                                                                                                                                                                                                                                                                                                                                                                                                                                                                                                                                                                                                                                                                                                                                                                                                                                                                                                                                                                                                                                                                                                                                                                                                                                                                                                                                                                                                                                                                                                                                                                                                                                                                                                                                                                                                                                                                                                                                                                                                                                                                                                                                                                                                                                                                                                                                                                                                                                                                                                                                                                                                                                                                                                                                                                                                                                                                                                                                                                                                                                                                                                                                                                                                                                                                                                                                                                                                                                                                                                                                                                                                                                                                                                                  </t>
  </si>
  <si>
    <t xml:space="preserve">OSP Budget Revision Date: </t>
  </si>
  <si>
    <t>Fixed additional tuition calculation as well as some minor formatting issues.</t>
  </si>
  <si>
    <t>Fixed an issue where RA/PA tuition was not totalling correctly in Budget Period 2 (Thanks Konstantin)</t>
  </si>
  <si>
    <t>Updated Fringe rates.  Fixed an issue on CUMULATIVE sheet where number of Grad Assistants was not calculating correctly.  Added RA rate for Arts.</t>
  </si>
  <si>
    <t>Arts (Peck School)</t>
  </si>
  <si>
    <t>Business (Lubar)</t>
  </si>
  <si>
    <t>Public Health (Zilber)</t>
  </si>
  <si>
    <t>Social Welfare (Bader)</t>
  </si>
  <si>
    <t>Changed all cells containing dollar amounts to round to the nearest dollar. Updated RA rates. Added data validation for percent effort.</t>
  </si>
  <si>
    <t>Research Assistant Rates</t>
  </si>
  <si>
    <t>Base 50% Appointment Rate for project's first Academic Year</t>
  </si>
  <si>
    <t>Changed fiscal year start and rollover dates.  Updated RA pay rates.  Horizontally centered printouts.</t>
  </si>
  <si>
    <r>
      <t>Note</t>
    </r>
    <r>
      <rPr>
        <b/>
        <sz val="10"/>
        <rFont val="Arial"/>
        <family val="2"/>
      </rPr>
      <t>:  All cells in blue are calculated from formulas using the cells in white.</t>
    </r>
  </si>
  <si>
    <t>Updated some of the explanatory text and web addresses on the Rates worksheet.</t>
  </si>
  <si>
    <t xml:space="preserve">Preventing printing of subcalculation cell just above F&amp;A Cost Base on all 6 periods when printing in B/W. </t>
  </si>
  <si>
    <t>Added table for RA rates by school/dept on the Rates worksheet.</t>
  </si>
  <si>
    <t>This worksheet contains the majority of the variable rates used in the calculations elsewhere in this budget workbook.</t>
  </si>
  <si>
    <t>These rates are subject to change.</t>
  </si>
  <si>
    <t>Proposal Budget Form - Rates</t>
  </si>
  <si>
    <t>L&amp;S - MALLT</t>
  </si>
  <si>
    <t>Updated Fringe rates.</t>
  </si>
  <si>
    <t>Single Semester - 50%</t>
  </si>
  <si>
    <t>Single Semester - 33%</t>
  </si>
  <si>
    <t>Modified all six budget years to accommodate single-semester RAs and PAs.  Changed file type to Excel 2007+ format (xlsx).</t>
  </si>
  <si>
    <t>count</t>
  </si>
  <si>
    <r>
      <t xml:space="preserve">Senior Personnel </t>
    </r>
    <r>
      <rPr>
        <sz val="10"/>
        <color theme="1"/>
        <rFont val="Arial"/>
        <family val="2"/>
      </rPr>
      <t>(# FTEs)</t>
    </r>
  </si>
  <si>
    <r>
      <t xml:space="preserve">Graduate Assistants </t>
    </r>
    <r>
      <rPr>
        <sz val="10"/>
        <color theme="1"/>
        <rFont val="Arial"/>
        <family val="2"/>
      </rPr>
      <t>(# FTEs)</t>
    </r>
  </si>
  <si>
    <r>
      <t xml:space="preserve">Student Hourly </t>
    </r>
    <r>
      <rPr>
        <sz val="10"/>
        <color theme="1"/>
        <rFont val="Arial"/>
        <family val="2"/>
      </rPr>
      <t>(# Hours)</t>
    </r>
  </si>
  <si>
    <t>Corrected a calculation error in the F&amp;A cost base in budget periods 3-6 when TDC cost base was selected.</t>
  </si>
  <si>
    <t>Discovered that the fix from 5/8/15 caused MTDC calculations in periods 4-6 to be incorrect.  Made necessary corrections to formulas.</t>
  </si>
  <si>
    <t>Office of Research Budget Development Tool</t>
  </si>
  <si>
    <t>Minor changes (no calculations updated): Changed old references of "Graduate School" to "Office of Research" in the heading of most sheets..  Updated URLs on Rates tab for fringe benefits and F&amp;A rates.</t>
  </si>
  <si>
    <r>
      <t xml:space="preserve">The Budget Development Tool is presented as an MS Excel workbook. If you are comfortable working with Excel or any other spreadsheet program, you will also be comfortable working with this Budget Development Tool.
</t>
    </r>
    <r>
      <rPr>
        <b/>
        <sz val="12"/>
        <rFont val="Times New Roman"/>
        <family val="1"/>
      </rPr>
      <t>Be sure to download and save a current copy of the Budget Development Tool every time you start working on a new budget</t>
    </r>
    <r>
      <rPr>
        <sz val="12"/>
        <rFont val="Times New Roman"/>
        <family val="1"/>
      </rPr>
      <t xml:space="preserve"> as the rates used in the calculations will be updated several times a year. The latest update date is located in the top right corner of the project data sheet.
</t>
    </r>
  </si>
  <si>
    <t xml:space="preserve">The workbook contains several worksheets. They are as follows:
</t>
  </si>
  <si>
    <r>
      <rPr>
        <b/>
        <sz val="12"/>
        <rFont val="Times New Roman"/>
        <family val="1"/>
      </rPr>
      <t>• General Instructions</t>
    </r>
    <r>
      <rPr>
        <sz val="12"/>
        <rFont val="Times New Roman"/>
        <family val="1"/>
      </rPr>
      <t xml:space="preserve"> – this document.
</t>
    </r>
    <r>
      <rPr>
        <b/>
        <sz val="12"/>
        <rFont val="Times New Roman"/>
        <family val="1"/>
      </rPr>
      <t>• Project Data</t>
    </r>
    <r>
      <rPr>
        <sz val="12"/>
        <rFont val="Times New Roman"/>
        <family val="1"/>
      </rPr>
      <t xml:space="preserve"> – contains basic information as well as data that will provide the basis for calculations in the other worksheets; this tab must be completed for every budget. Sponsor is the Institution/Agency from which UWM will be receiving funding directly.  Prime Sponsor (Optional) is used if UWM is a subawardee; after entering our Sponsor, enter the name of the institution/agency which is providing the primary funding for the project.
</t>
    </r>
    <r>
      <rPr>
        <b/>
        <sz val="12"/>
        <rFont val="Times New Roman"/>
        <family val="1"/>
      </rPr>
      <t xml:space="preserve">
• Budget Period 1</t>
    </r>
    <r>
      <rPr>
        <sz val="12"/>
        <rFont val="Times New Roman"/>
        <family val="1"/>
      </rPr>
      <t xml:space="preserve"> – enter detailed data for the first budget period. The first four columns for all non-student personnel should be entered in Budget Period 1, even if there is no salary requested until subsequent years. In addition, the name of each subaward should be entered in Budget Period 1 even if there are no costs until subsequent years. Use one line for each subaward and enter total subaward costs.
</t>
    </r>
    <r>
      <rPr>
        <b/>
        <sz val="12"/>
        <rFont val="Times New Roman"/>
        <family val="1"/>
      </rPr>
      <t>• Budget Periods 2-6</t>
    </r>
    <r>
      <rPr>
        <sz val="12"/>
        <rFont val="Times New Roman"/>
        <family val="1"/>
      </rPr>
      <t xml:space="preserve"> – enter detailed data for subsequent budget periods, using as many budget periods as required for your project. Some information is pre-populated from the prior budget period (including non-student personnel salary information with salaries increased by the inflation rate specified on the project data sheet), but is not activated until additional data is entered into the white cells on each line.
</t>
    </r>
    <r>
      <rPr>
        <b/>
        <sz val="12"/>
        <rFont val="Times New Roman"/>
        <family val="1"/>
      </rPr>
      <t>• Cumulative</t>
    </r>
    <r>
      <rPr>
        <sz val="12"/>
        <rFont val="Times New Roman"/>
        <family val="1"/>
      </rPr>
      <t xml:space="preserve"> – provides totals for all years of the project by personnel and other budget category detail.
</t>
    </r>
    <r>
      <rPr>
        <b/>
        <sz val="12"/>
        <rFont val="Times New Roman"/>
        <family val="1"/>
      </rPr>
      <t>• Totals</t>
    </r>
    <r>
      <rPr>
        <sz val="12"/>
        <rFont val="Times New Roman"/>
        <family val="1"/>
      </rPr>
      <t xml:space="preserve"> – provides amounts by budget period for budget categories and total as well as project totals for each budget category and total.
</t>
    </r>
    <r>
      <rPr>
        <b/>
        <sz val="12"/>
        <rFont val="Times New Roman"/>
        <family val="1"/>
      </rPr>
      <t>• Modular Budget Summary</t>
    </r>
    <r>
      <rPr>
        <sz val="12"/>
        <rFont val="Times New Roman"/>
        <family val="1"/>
      </rPr>
      <t xml:space="preserve"> – pulls data from budget tabs 1-5. Facilitates converting detailed budget to modular budget format for NIH proposals. Total F&amp;A costs for all subawardees must be entered on this form, even though these costs are already included in the Subaward section as part of their total costs.
</t>
    </r>
    <r>
      <rPr>
        <b/>
        <sz val="12"/>
        <rFont val="Times New Roman"/>
        <family val="1"/>
      </rPr>
      <t>• Industry Budget</t>
    </r>
    <r>
      <rPr>
        <sz val="12"/>
        <rFont val="Times New Roman"/>
        <family val="1"/>
      </rPr>
      <t xml:space="preserve"> – Provides a total budget in a format that rolls up the F&amp;A into the budget summary.
</t>
    </r>
    <r>
      <rPr>
        <b/>
        <sz val="12"/>
        <rFont val="Times New Roman"/>
        <family val="1"/>
      </rPr>
      <t>• Rates</t>
    </r>
    <r>
      <rPr>
        <sz val="12"/>
        <rFont val="Times New Roman"/>
        <family val="1"/>
      </rPr>
      <t xml:space="preserve"> – this sheet is informational only and none of the rates can be changed.
</t>
    </r>
    <r>
      <rPr>
        <b/>
        <sz val="12"/>
        <rFont val="Times New Roman"/>
        <family val="1"/>
      </rPr>
      <t>• Notes</t>
    </r>
    <r>
      <rPr>
        <sz val="12"/>
        <rFont val="Times New Roman"/>
        <family val="1"/>
      </rPr>
      <t xml:space="preserve"> – to be used for notes, additional calculations, and other details; does not link to or affect any calculations in any of the other worksheets.
</t>
    </r>
    <r>
      <rPr>
        <b/>
        <sz val="12"/>
        <rFont val="Times New Roman"/>
        <family val="1"/>
      </rPr>
      <t xml:space="preserve">
• Detailed Instruction</t>
    </r>
    <r>
      <rPr>
        <sz val="12"/>
        <rFont val="Times New Roman"/>
        <family val="1"/>
      </rPr>
      <t xml:space="preserve">s – contains instructions for data entry in each of the worksheets.
</t>
    </r>
    <r>
      <rPr>
        <b/>
        <sz val="12"/>
        <rFont val="Times New Roman"/>
        <family val="1"/>
      </rPr>
      <t>• ChangeLog</t>
    </r>
    <r>
      <rPr>
        <sz val="12"/>
        <rFont val="Times New Roman"/>
        <family val="1"/>
      </rPr>
      <t xml:space="preserve"> – revision history for the budget tool.</t>
    </r>
  </si>
  <si>
    <t xml:space="preserve">• To move to a different sheet, click on the tab for that sheet. If you cannot see the tab for the sheet you wish to work on, use the arrow buttons in the lower left corner of the screen.
• To SAVE the workbook, use “Save” under the File menu to save to the same name; use “Save As” to save to a different name.
• To PRINT, select PRINT from the File menu; you may print the entire workbook or only the active sheet.
</t>
  </si>
  <si>
    <r>
      <t xml:space="preserve">• All worksheets are “protected.” 
• Only editable (white) cells can be changed. To edit a cell, use your mouse to click within that cell.
</t>
    </r>
    <r>
      <rPr>
        <b/>
        <sz val="12"/>
        <rFont val="Times New Roman"/>
        <family val="1"/>
      </rPr>
      <t>Do not cut-copy/paste or drag/drop dollar amounts from one section to another.  If you need to change dollar entries to a different category, delete the dollar amount from the initial entry and re-enter the amount in the new cost field.</t>
    </r>
    <r>
      <rPr>
        <sz val="12"/>
        <rFont val="Times New Roman"/>
        <family val="1"/>
      </rPr>
      <t xml:space="preserve">
• Other (colored) cells are locked and cannot be changed. This was designed to prevent calculation errors.
• Some cells contain a “dropdown” option to aid in preparing your budget. These dropdowns list the valid values for that cell. To use the dropdown, click on the down arrow to the right of the cell and then click on the appropriate value for that cell.
• You may use the TAB and ENTER keys to move around the worksheet. The TAB key will move the cursor to the next editable cell that does not contain a dropdown option; the ENTER key will move the cursor to the next row in the worksheet.
• If the contents of any cell display as #### (pound signs), change the zoom level.
</t>
    </r>
  </si>
  <si>
    <t>Textual changes to "General Instructions" and re-ordering of worksheets.</t>
  </si>
  <si>
    <t>Updated Fringe rates, PA salary rates, and changed fiscal year rollover dates.</t>
  </si>
  <si>
    <t>Grad Student Tuition Remission Rates for All Assistants (FY 2018 and beyond)</t>
  </si>
  <si>
    <t>1st Year Increase %</t>
  </si>
  <si>
    <t>Remaining Year Increase %</t>
  </si>
  <si>
    <t>2nd Year Increase %</t>
  </si>
  <si>
    <t>Tuition Calc Cutover Date</t>
  </si>
  <si>
    <t>Prevent Tuition Remission Calculation?</t>
  </si>
  <si>
    <t>Fair Labor Standards Act (FLSA) Minimum PostDoc Salary</t>
  </si>
  <si>
    <t>Graduate Assistant Annual Tuition Remission</t>
  </si>
  <si>
    <t>% Increase</t>
  </si>
  <si>
    <t>See Table Below for base RA Rates</t>
  </si>
  <si>
    <t>Added FY and percentage increase labels to tables on "Rates" worksheet.  Updated Fringe and F&amp;A reference links on "Rates" worksheet.</t>
  </si>
  <si>
    <t>Removed the ability to select a funding type of "Non-Federal (UWM Foundation)" and added a checkbox to prevent tuition from being calculated in the budget.</t>
  </si>
  <si>
    <t>Changed method of calculating Tution costs for assistants for FY 2018 and beyond.  Removed NRTR calculation for all but FY 2017.  Tution for RA's is added to the budget for FY 2018 and beyond.</t>
  </si>
  <si>
    <t>Added warning for PostDocs below minimum FLSA salary for all budget periods.</t>
  </si>
  <si>
    <t>Fixed issue in budget periods 3-5 where salary for the the 20th personnel entered was incorrectly increased at double the desired rate.</t>
  </si>
  <si>
    <t>For more details on using Excel, contact your computer support staff. For any other questions about the budget development tool including budget categories and other budget-specific items, contact us at 229-3332 or email us at or-budtool-help@uwm.edu.</t>
  </si>
  <si>
    <t>04-25-2017</t>
  </si>
  <si>
    <t>Modified wording for warning given when PostDoc salary is below minimum UWM salary standards for all budget periods.</t>
  </si>
  <si>
    <t>Prime Sponsor (if applicable):</t>
  </si>
  <si>
    <t># Assistants</t>
  </si>
  <si>
    <t>Updated Fringe Range and F&amp;A Rates</t>
  </si>
  <si>
    <t>Removed "Additional Tuition" option for graduate assistants.  Removed remaining legacy resident tution and NRTR calculations from period 1.</t>
  </si>
  <si>
    <t>Modified page layouts of buget periods to print 2 pages in portrait orientation instead of 3 pages landscape.  Added page numbers in footer, repeated header rows at top of second page.</t>
  </si>
  <si>
    <t>07-13-2017</t>
  </si>
  <si>
    <t>01-30-2018</t>
  </si>
  <si>
    <t>These rates are set by UW-System and posted on UW-Wisconsin's Financial Administration web site:  
https://www.wisconsin.edu/financial-administration/grant-accounting/fringe-benefit-rates-for-extramural-support-funds/</t>
  </si>
  <si>
    <t>Off Campus</t>
  </si>
  <si>
    <t>These rates are posted on the UWM Secretary of the University's web site: 
https://uwm.edu/secu/wp-content/uploads/sites/122/2018/08/BMWG-Report-Spring-2018-FINAL.pdf</t>
  </si>
  <si>
    <t>Public Service</t>
  </si>
  <si>
    <t>These rates are posted on the UWM Graduate School web site:
https://uwm.edu/graduateschool/graduate-assistant-policies-procedures/
A 2% annual salary increase is incorporated starting the second budget year for PAs only.</t>
  </si>
  <si>
    <t>Updated Fringe rates, changed fiscal year rollover dates, updated source web sites for some rates.</t>
  </si>
  <si>
    <t>Updated Project Assistant salaries</t>
  </si>
  <si>
    <t>Updated Fringe rates, corrected Project Assistant salaries, changed fiscal year rollover dates, changed worksheeet tab colors, slightly modified Budget Period page breaks.</t>
  </si>
  <si>
    <t>Student Startdate Fringe Increase %</t>
  </si>
  <si>
    <t>Student Annual Fringe Rate % Increase</t>
  </si>
  <si>
    <t>All Other Startdate Fringe Increase %</t>
  </si>
  <si>
    <t>All Other Annual Fringe Rate % Increase</t>
  </si>
  <si>
    <t>% Increase (Student - RA/PA/PostDoc - All Others)</t>
  </si>
  <si>
    <t>RA/PA/PostDoc Yearly + Increase</t>
  </si>
  <si>
    <t>RA/PA/PostDoc Startdate Fringe + Inc.</t>
  </si>
  <si>
    <t>Updated Fringe rates for Research and Project Assistants / Graduate Students &amp; Research Associates / Post Doctoral Associates</t>
  </si>
  <si>
    <t>Fiscal Year</t>
  </si>
  <si>
    <t>Subsistence /
Other Participant Costs</t>
  </si>
  <si>
    <t>Added generic RA rate options for $21,000, $19,000, and $17,000 for step-up assistantship salaries.  Allowed partial RA/PA appointments (decimals instead of whole numbers).</t>
  </si>
  <si>
    <t>Changed RA salary annual rate increase from 0% to 2% after the first year.   Added additional rows for "Consultants". Updated "consultant" totals calculations in Totals and Industry summary sheets.</t>
  </si>
  <si>
    <t>Changed fiscal year rollover dates</t>
  </si>
  <si>
    <t>Updated Fringe rates</t>
  </si>
  <si>
    <t>%+ Increase</t>
  </si>
  <si>
    <t>Updated RA rates, Removed generic RA rate options, Updated Indirect Cost Rates and Percentage Increases (Research Only)</t>
  </si>
  <si>
    <t>Update Public Service Indirect Cost Rate.  Fixed an error where Research Indirect Cost Rate Increases weren't calculating properly for some budget periods.</t>
  </si>
  <si>
    <t>F&amp;A Rate Type:</t>
  </si>
  <si>
    <t xml:space="preserve">Custom F&amp;A Rate: </t>
  </si>
  <si>
    <t>Other/Custom</t>
  </si>
  <si>
    <t>F&amp;A Rate Types</t>
  </si>
  <si>
    <t>F&amp;A Rates</t>
  </si>
  <si>
    <t>Year:</t>
  </si>
  <si>
    <t>TDC / other</t>
  </si>
  <si>
    <t>Sponsor</t>
  </si>
  <si>
    <t>Any</t>
  </si>
  <si>
    <t>State / Local Government</t>
  </si>
  <si>
    <t>Public Service / Other</t>
  </si>
  <si>
    <t xml:space="preserve">Federal / For-Profit / Other	</t>
  </si>
  <si>
    <r>
      <rPr>
        <b/>
        <sz val="11"/>
        <rFont val="Times New Roman"/>
        <family val="1"/>
      </rPr>
      <t>a.</t>
    </r>
    <r>
      <rPr>
        <sz val="11"/>
        <rFont val="Times New Roman"/>
        <family val="1"/>
      </rPr>
      <t xml:space="preserve"> </t>
    </r>
    <r>
      <rPr>
        <u/>
        <sz val="11"/>
        <rFont val="Times New Roman"/>
        <family val="1"/>
      </rPr>
      <t>Graduate Assistants:</t>
    </r>
    <r>
      <rPr>
        <sz val="11"/>
        <rFont val="Times New Roman"/>
        <family val="1"/>
      </rPr>
      <t xml:space="preserve"> Select the appropriate type from the dropdown box.
</t>
    </r>
    <r>
      <rPr>
        <b/>
        <sz val="11"/>
        <rFont val="Times New Roman"/>
        <family val="1"/>
      </rPr>
      <t xml:space="preserve">b. </t>
    </r>
    <r>
      <rPr>
        <u/>
        <sz val="11"/>
        <rFont val="Times New Roman"/>
        <family val="1"/>
      </rPr>
      <t>Duration and percent effort</t>
    </r>
    <r>
      <rPr>
        <sz val="11"/>
        <rFont val="Times New Roman"/>
        <family val="1"/>
      </rPr>
      <t xml:space="preserve">: Select the correct duration and percent effort for the assistant(s).
</t>
    </r>
    <r>
      <rPr>
        <b/>
        <sz val="11"/>
        <rFont val="Times New Roman"/>
        <family val="1"/>
      </rPr>
      <t>c.</t>
    </r>
    <r>
      <rPr>
        <sz val="11"/>
        <rFont val="Times New Roman"/>
        <family val="1"/>
      </rPr>
      <t xml:space="preserve"> </t>
    </r>
    <r>
      <rPr>
        <u/>
        <sz val="11"/>
        <rFont val="Times New Roman"/>
        <family val="1"/>
      </rPr>
      <t>Department</t>
    </r>
    <r>
      <rPr>
        <sz val="11"/>
        <rFont val="Times New Roman"/>
        <family val="1"/>
      </rPr>
      <t xml:space="preserve">: Select the correct department that will support the graduate student.
</t>
    </r>
    <r>
      <rPr>
        <b/>
        <sz val="11"/>
        <rFont val="Times New Roman"/>
        <family val="1"/>
      </rPr>
      <t>d.</t>
    </r>
    <r>
      <rPr>
        <sz val="11"/>
        <rFont val="Times New Roman"/>
        <family val="1"/>
      </rPr>
      <t xml:space="preserve"> </t>
    </r>
    <r>
      <rPr>
        <u/>
        <sz val="11"/>
        <rFont val="Times New Roman"/>
        <family val="1"/>
      </rPr>
      <t># of Assistants:</t>
    </r>
    <r>
      <rPr>
        <sz val="11"/>
        <rFont val="Times New Roman"/>
        <family val="1"/>
      </rPr>
      <t xml:space="preserve"> Enter the number of assistants of that type. 
</t>
    </r>
    <r>
      <rPr>
        <b/>
        <sz val="11"/>
        <rFont val="Times New Roman"/>
        <family val="1"/>
      </rPr>
      <t>e.</t>
    </r>
    <r>
      <rPr>
        <sz val="11"/>
        <rFont val="Times New Roman"/>
        <family val="1"/>
      </rPr>
      <t xml:space="preserve"> </t>
    </r>
    <r>
      <rPr>
        <u/>
        <sz val="11"/>
        <rFont val="Times New Roman"/>
        <family val="1"/>
      </rPr>
      <t>The other cells in the row will calculate automatically based on the information entered above.</t>
    </r>
    <r>
      <rPr>
        <sz val="11"/>
        <rFont val="Times New Roman"/>
        <family val="1"/>
      </rPr>
      <t xml:space="preserve">
     • </t>
    </r>
    <r>
      <rPr>
        <u/>
        <sz val="11"/>
        <rFont val="Times New Roman"/>
        <family val="1"/>
      </rPr>
      <t>Tuition</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Requested Salary</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Rate</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Fringe Benefits</t>
    </r>
    <r>
      <rPr>
        <sz val="11"/>
        <rFont val="Times New Roman"/>
        <family val="1"/>
      </rPr>
      <t xml:space="preserve">
     </t>
    </r>
    <r>
      <rPr>
        <b/>
        <sz val="11"/>
        <rFont val="Times New Roman"/>
        <family val="1"/>
      </rPr>
      <t>•</t>
    </r>
    <r>
      <rPr>
        <sz val="11"/>
        <rFont val="Times New Roman"/>
        <family val="1"/>
      </rPr>
      <t xml:space="preserve"> </t>
    </r>
    <r>
      <rPr>
        <u/>
        <sz val="11"/>
        <rFont val="Times New Roman"/>
        <family val="1"/>
      </rPr>
      <t>Row Total</t>
    </r>
    <r>
      <rPr>
        <sz val="11"/>
        <rFont val="Times New Roman"/>
        <family val="1"/>
      </rPr>
      <t xml:space="preserve">
</t>
    </r>
  </si>
  <si>
    <r>
      <rPr>
        <b/>
        <sz val="11"/>
        <rFont val="Times New Roman"/>
        <family val="1"/>
      </rPr>
      <t>a.</t>
    </r>
    <r>
      <rPr>
        <sz val="11"/>
        <rFont val="Times New Roman"/>
        <family val="1"/>
      </rPr>
      <t xml:space="preserve"> Include major equipment rental in this section.
</t>
    </r>
    <r>
      <rPr>
        <b/>
        <sz val="11"/>
        <rFont val="Times New Roman"/>
        <family val="1"/>
      </rPr>
      <t>b.</t>
    </r>
    <r>
      <rPr>
        <sz val="11"/>
        <rFont val="Times New Roman"/>
        <family val="1"/>
      </rPr>
      <t xml:space="preserve"> Items included in this section are excluded from F&amp;A (Indirect) cost calculations. (except with a base of TDC).
</t>
    </r>
    <r>
      <rPr>
        <b/>
        <sz val="11"/>
        <rFont val="Times New Roman"/>
        <family val="1"/>
      </rPr>
      <t>c.</t>
    </r>
    <r>
      <rPr>
        <sz val="11"/>
        <rFont val="Times New Roman"/>
        <family val="1"/>
      </rPr>
      <t xml:space="preserve"> Sponsors may require a quote for each equipment item.
</t>
    </r>
    <r>
      <rPr>
        <b/>
        <sz val="11"/>
        <rFont val="Times New Roman"/>
        <family val="1"/>
      </rPr>
      <t>d.</t>
    </r>
    <r>
      <rPr>
        <sz val="11"/>
        <rFont val="Times New Roman"/>
        <family val="1"/>
      </rPr>
      <t xml:space="preserve"> Costs associated with the Neeskay research vessel should be included in this section.
</t>
    </r>
  </si>
  <si>
    <r>
      <rPr>
        <b/>
        <sz val="11"/>
        <rFont val="Times New Roman"/>
        <family val="1"/>
      </rPr>
      <t>1.</t>
    </r>
    <r>
      <rPr>
        <sz val="11"/>
        <rFont val="Times New Roman"/>
        <family val="1"/>
      </rPr>
      <t xml:space="preserve"> Use this category only for certain programs specified by agency guidelines and for patient costs.
</t>
    </r>
    <r>
      <rPr>
        <b/>
        <sz val="11"/>
        <rFont val="Times New Roman"/>
        <family val="1"/>
      </rPr>
      <t>2.</t>
    </r>
    <r>
      <rPr>
        <sz val="11"/>
        <rFont val="Times New Roman"/>
        <family val="1"/>
      </rPr>
      <t xml:space="preserve"> Enter descriptions of type of costs, such as transportation, per diem, stipends and other related costs for participants or trainees (but not employees) in conjunction with certain conferences, meetings, symposia, workshops and other training activities. 
</t>
    </r>
    <r>
      <rPr>
        <b/>
        <sz val="11"/>
        <rFont val="Times New Roman"/>
        <family val="1"/>
      </rPr>
      <t>3.</t>
    </r>
    <r>
      <rPr>
        <sz val="11"/>
        <rFont val="Times New Roman"/>
        <family val="1"/>
      </rPr>
      <t xml:space="preserve"> </t>
    </r>
    <r>
      <rPr>
        <u/>
        <sz val="11"/>
        <rFont val="Times New Roman"/>
        <family val="1"/>
      </rPr>
      <t>Costs:</t>
    </r>
    <r>
      <rPr>
        <sz val="11"/>
        <rFont val="Times New Roman"/>
        <family val="1"/>
      </rPr>
      <t xml:space="preserve"> Type the total amount of the participant/patient costs.
</t>
    </r>
    <r>
      <rPr>
        <b/>
        <sz val="11"/>
        <rFont val="Times New Roman"/>
        <family val="1"/>
      </rPr>
      <t>4.</t>
    </r>
    <r>
      <rPr>
        <sz val="11"/>
        <rFont val="Times New Roman"/>
        <family val="1"/>
      </rPr>
      <t xml:space="preserve"> </t>
    </r>
    <r>
      <rPr>
        <u/>
        <sz val="11"/>
        <rFont val="Times New Roman"/>
        <family val="1"/>
      </rPr>
      <t>Items in this category are excluded for F&amp;A (Indirect) cost calculations (except with a base of TDC).</t>
    </r>
    <r>
      <rPr>
        <sz val="11"/>
        <rFont val="Times New Roman"/>
        <family val="1"/>
      </rPr>
      <t xml:space="preserve">
</t>
    </r>
  </si>
  <si>
    <t>This worksheet provides a summary of budget categories for each budget period as well as a summary of all budget categories with the indirect costs added to each line item as appropriate.  There are no fields to fill out in this spreadsheet.</t>
  </si>
  <si>
    <t>Extensive changes to accommodate yearly percentage increases in Facilities and Administration (Indirect) Cost Rates for Research
Added a drop-down on the "Project Data" worksheet for "F&amp;A Rate Type" and a field for "Custom F&amp;A Rate"
Added a small table on the "Project Data" worksheet to display yearly F&amp;A Rates
Updated all budget period and totals worksheets to use yearly F&amp;A rates instead of one unchanging F&amp;A rate for the entire budget period
Cleaned up the "Rates &amp; Bases" table on the "Project Data" worksheet
Separated out "Participant Costs" and "Travel" totals into two separate rows in the "Industry" worksheet
Updated "Detailed Instructions" worksheet to include information regarding these and other recent modifications.</t>
  </si>
  <si>
    <r>
      <rPr>
        <b/>
        <sz val="11"/>
        <rFont val="Times New Roman"/>
        <family val="1"/>
      </rPr>
      <t>8.</t>
    </r>
    <r>
      <rPr>
        <sz val="11"/>
        <rFont val="Times New Roman"/>
        <family val="1"/>
      </rPr>
      <t xml:space="preserve"> </t>
    </r>
    <r>
      <rPr>
        <u/>
        <sz val="11"/>
        <rFont val="Times New Roman"/>
        <family val="1"/>
      </rPr>
      <t>Funding Type</t>
    </r>
    <r>
      <rPr>
        <sz val="11"/>
        <rFont val="Times New Roman"/>
        <family val="1"/>
      </rPr>
      <t xml:space="preserve">: Select the appropriate funding type from the dropdown list: </t>
    </r>
    <r>
      <rPr>
        <b/>
        <sz val="11"/>
        <rFont val="Times New Roman"/>
        <family val="1"/>
      </rPr>
      <t>Federal</t>
    </r>
    <r>
      <rPr>
        <sz val="11"/>
        <rFont val="Times New Roman"/>
        <family val="1"/>
      </rPr>
      <t xml:space="preserve">, or </t>
    </r>
    <r>
      <rPr>
        <b/>
        <sz val="11"/>
        <rFont val="Times New Roman"/>
        <family val="1"/>
      </rPr>
      <t>Non-Federal</t>
    </r>
    <r>
      <rPr>
        <sz val="11"/>
        <rFont val="Times New Roman"/>
        <family val="1"/>
      </rPr>
      <t xml:space="preserve">.
</t>
    </r>
    <r>
      <rPr>
        <b/>
        <sz val="11"/>
        <rFont val="Times New Roman"/>
        <family val="1"/>
      </rPr>
      <t>9.</t>
    </r>
    <r>
      <rPr>
        <sz val="11"/>
        <rFont val="Times New Roman"/>
        <family val="1"/>
      </rPr>
      <t xml:space="preserve"> </t>
    </r>
    <r>
      <rPr>
        <u/>
        <sz val="11"/>
        <rFont val="Times New Roman"/>
        <family val="1"/>
      </rPr>
      <t>Tuition Prohibited</t>
    </r>
    <r>
      <rPr>
        <sz val="11"/>
        <rFont val="Times New Roman"/>
        <family val="1"/>
      </rPr>
      <t xml:space="preserve">: Mark the checkbox if the sponsor prohibits tuition.
</t>
    </r>
    <r>
      <rPr>
        <b/>
        <sz val="11"/>
        <rFont val="Times New Roman"/>
        <family val="1"/>
      </rPr>
      <t>10.</t>
    </r>
    <r>
      <rPr>
        <sz val="11"/>
        <rFont val="Times New Roman"/>
        <family val="1"/>
      </rPr>
      <t xml:space="preserve"> </t>
    </r>
    <r>
      <rPr>
        <u/>
        <sz val="11"/>
        <rFont val="Times New Roman"/>
        <family val="1"/>
      </rPr>
      <t>Annual Inflation Rate</t>
    </r>
    <r>
      <rPr>
        <sz val="11"/>
        <rFont val="Times New Roman"/>
        <family val="1"/>
      </rPr>
      <t xml:space="preserve">: The default rate for non-student salaries is 3%; these salaries will increase by this rate in each year of the proposal. You may enter a different rate in the field. 
</t>
    </r>
    <r>
      <rPr>
        <b/>
        <sz val="11"/>
        <rFont val="Times New Roman"/>
        <family val="1"/>
      </rPr>
      <t>11.</t>
    </r>
    <r>
      <rPr>
        <sz val="11"/>
        <rFont val="Times New Roman"/>
        <family val="1"/>
      </rPr>
      <t xml:space="preserve"> </t>
    </r>
    <r>
      <rPr>
        <u/>
        <sz val="11"/>
        <rFont val="Times New Roman"/>
        <family val="1"/>
      </rPr>
      <t>F&amp;A (Indirect) Costs</t>
    </r>
    <r>
      <rPr>
        <sz val="11"/>
        <rFont val="Times New Roman"/>
        <family val="1"/>
      </rPr>
      <t xml:space="preserve">: The </t>
    </r>
    <r>
      <rPr>
        <b/>
        <sz val="11"/>
        <rFont val="Times New Roman"/>
        <family val="1"/>
      </rPr>
      <t>Common Rates &amp; Bases</t>
    </r>
    <r>
      <rPr>
        <sz val="11"/>
        <rFont val="Times New Roman"/>
        <family val="1"/>
      </rPr>
      <t xml:space="preserve"> chart provides information needed to complete the next two items.
</t>
    </r>
    <r>
      <rPr>
        <b/>
        <sz val="11"/>
        <rFont val="Times New Roman"/>
        <family val="1"/>
      </rPr>
      <t xml:space="preserve">12. </t>
    </r>
    <r>
      <rPr>
        <u/>
        <sz val="11"/>
        <rFont val="Times New Roman"/>
        <family val="1"/>
      </rPr>
      <t>F&amp;A Rate Type</t>
    </r>
    <r>
      <rPr>
        <sz val="11"/>
        <rFont val="Times New Roman"/>
        <family val="1"/>
      </rPr>
      <t>: Enter the appropriate F&amp;A rate based on the chart and sponsor guidelines. If your rate is not listed in the Common Rates &amp; Bases table, please select Other/Custom and enter the rate in the Custom F&amp;A Rate box that will appear.</t>
    </r>
    <r>
      <rPr>
        <b/>
        <sz val="11"/>
        <rFont val="Times New Roman"/>
        <family val="1"/>
      </rPr>
      <t xml:space="preserve">
13.</t>
    </r>
    <r>
      <rPr>
        <sz val="11"/>
        <rFont val="Times New Roman"/>
        <family val="1"/>
      </rPr>
      <t xml:space="preserve"> </t>
    </r>
    <r>
      <rPr>
        <u/>
        <sz val="11"/>
        <rFont val="Times New Roman"/>
        <family val="1"/>
      </rPr>
      <t>Base</t>
    </r>
    <r>
      <rPr>
        <sz val="11"/>
        <rFont val="Times New Roman"/>
        <family val="1"/>
      </rPr>
      <t xml:space="preserve">: Select the appropriate base type from the drop down list according to the chart and sponsor guidelines.
</t>
    </r>
  </si>
  <si>
    <t>These rates are posted on the UWM Office of Research web site: 
https://uwm.edu/officeofresearch/wp-content/uploads/sites/91/2021/11/20211011-IDC-rate-agreement.pdf</t>
  </si>
  <si>
    <t>Fixed calculation of F&amp;A rates where the percentage was too high in later years.
Capped F&amp;A percentage at a maximum of 54%.
Updated the URL for posted F&amp;A Rates.</t>
  </si>
  <si>
    <t>This is used to calculate student "Person Months" from student hourly
"# Hours" value.</t>
  </si>
  <si>
    <t>PI Salary Annual Increase Percentage</t>
  </si>
  <si>
    <t>L&amp;S - African &amp; African Diaspora Studies</t>
  </si>
  <si>
    <t>Other / Not Listed</t>
  </si>
  <si>
    <t>L&amp;S - Foreign Languages &amp; Literature</t>
  </si>
  <si>
    <t>L&amp;S - Institute for Global Studies</t>
  </si>
  <si>
    <t>L&amp;S - International Studies</t>
  </si>
  <si>
    <t>L&amp;S - Mathematical Sciences</t>
  </si>
  <si>
    <t>L&amp;S - 21st Century Studies, Center for</t>
  </si>
  <si>
    <t>School/Department/Division</t>
  </si>
  <si>
    <t>Updated RA &amp; PA rates</t>
  </si>
  <si>
    <t>Updated Fringe Rates
Verified F&amp;A Rates
Changed fiscal year rollover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</si>
</sst>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2" formatCode="_(&quot;$&quot;* #,##0_);_(&quot;$&quot;* \(#,##0\);_(&quot;$&quot;* &quot;-&quot;_);_(@_)"/>
    <numFmt numFmtId="44" formatCode="_(&quot;$&quot;* #,##0.00_);_(&quot;$&quot;* \(#,##0.00\);_(&quot;$&quot;* &quot;-&quot;??_);_(@_)"/>
    <numFmt numFmtId="43" formatCode="_(* #,##0.00_);_(* \(#,##0.00\);_(* &quot;-&quot;??_);_(@_)"/>
    <numFmt numFmtId="164" formatCode="[$-409]d\-mmm\-yyyy;@"/>
    <numFmt numFmtId="165" formatCode="0.0%"/>
    <numFmt numFmtId="166" formatCode="dd\-mmm\-yyyy"/>
    <numFmt numFmtId="167" formatCode="&quot;$&quot;#,##0.00"/>
    <numFmt numFmtId="168" formatCode="_([$$-409]* #,##0.00_);_([$$-409]* \(#,##0.00\);_([$$-409]* &quot;-&quot;??_);_(@_)"/>
    <numFmt numFmtId="169" formatCode="_(&quot;$&quot;* #,##0_);_(&quot;$&quot;* \(#,##0\);_(&quot;$&quot;* &quot;-&quot;??_);_(@_)"/>
    <numFmt numFmtId="170" formatCode="&quot;$&quot;#,##0"/>
    <numFmt numFmtId="171" formatCode="_([$$-409]* #,##0_);_([$$-409]* \(#,##0\);_([$$-409]* &quot;-&quot;_);_(@_)"/>
    <numFmt numFmtId="172" formatCode="&quot;&quot;;&quot;&quot;;&quot;&quot;;&quot;&quot;"/>
    <numFmt numFmtId="173" formatCode="mm/dd/yyyy"/>
    <numFmt numFmtId="174" formatCode=";;;"/>
  </numFmts>
  <fonts count="43" x14ac:knownFonts="1">
    <font>
      <sz val="10"/>
      <color theme="1"/>
      <name val="Arial"/>
      <family val="2"/>
    </font>
    <font>
      <sz val="10"/>
      <color indexed="10"/>
      <name val="Arial"/>
      <family val="2"/>
    </font>
    <font>
      <sz val="10"/>
      <name val="Arial"/>
      <family val="2"/>
    </font>
    <font>
      <sz val="10"/>
      <name val="Arial"/>
      <family val="2"/>
    </font>
    <font>
      <b/>
      <sz val="10"/>
      <name val="Arial"/>
      <family val="2"/>
    </font>
    <font>
      <b/>
      <u/>
      <sz val="10"/>
      <name val="Arial"/>
      <family val="2"/>
    </font>
    <font>
      <b/>
      <sz val="12"/>
      <name val="Arial"/>
      <family val="2"/>
    </font>
    <font>
      <sz val="12"/>
      <name val="Arial"/>
      <family val="2"/>
    </font>
    <font>
      <u/>
      <sz val="10"/>
      <name val="Arial"/>
      <family val="2"/>
    </font>
    <font>
      <sz val="8"/>
      <name val="Arial"/>
      <family val="2"/>
    </font>
    <font>
      <sz val="10"/>
      <color indexed="81"/>
      <name val="Tahoma"/>
      <family val="2"/>
    </font>
    <font>
      <b/>
      <sz val="10"/>
      <color indexed="81"/>
      <name val="Tahoma"/>
      <family val="2"/>
    </font>
    <font>
      <b/>
      <sz val="10"/>
      <color indexed="8"/>
      <name val="Arial"/>
      <family val="2"/>
    </font>
    <font>
      <sz val="11"/>
      <name val="Arial"/>
      <family val="2"/>
    </font>
    <font>
      <b/>
      <sz val="11"/>
      <name val="Arial"/>
      <family val="2"/>
    </font>
    <font>
      <b/>
      <sz val="14"/>
      <name val="Times New Roman"/>
      <family val="1"/>
    </font>
    <font>
      <b/>
      <sz val="11"/>
      <name val="Times New Roman"/>
      <family val="1"/>
    </font>
    <font>
      <sz val="11"/>
      <name val="Times New Roman"/>
      <family val="1"/>
    </font>
    <font>
      <u/>
      <sz val="11"/>
      <name val="Times New Roman"/>
      <family val="1"/>
    </font>
    <font>
      <b/>
      <u/>
      <sz val="11"/>
      <name val="Times New Roman"/>
      <family val="1"/>
    </font>
    <font>
      <sz val="12"/>
      <name val="Times New Roman"/>
      <family val="1"/>
    </font>
    <font>
      <b/>
      <sz val="12"/>
      <name val="Times New Roman"/>
      <family val="1"/>
    </font>
    <font>
      <strike/>
      <sz val="10"/>
      <name val="Arial"/>
      <family val="2"/>
    </font>
    <font>
      <b/>
      <sz val="18"/>
      <name val="Arial"/>
      <family val="2"/>
    </font>
    <font>
      <sz val="18"/>
      <name val="Arial"/>
      <family val="2"/>
    </font>
    <font>
      <sz val="10"/>
      <color theme="1"/>
      <name val="Arial"/>
      <family val="2"/>
    </font>
    <font>
      <sz val="10"/>
      <color theme="0"/>
      <name val="Arial"/>
      <family val="2"/>
    </font>
    <font>
      <b/>
      <sz val="10"/>
      <color theme="1"/>
      <name val="Arial"/>
      <family val="2"/>
    </font>
    <font>
      <sz val="24"/>
      <color theme="1"/>
      <name val="Arial"/>
      <family val="2"/>
    </font>
    <font>
      <sz val="12"/>
      <color theme="1"/>
      <name val="Arial"/>
      <family val="2"/>
    </font>
    <font>
      <b/>
      <sz val="12"/>
      <color theme="1"/>
      <name val="Arial"/>
      <family val="2"/>
    </font>
    <font>
      <sz val="10"/>
      <color theme="0" tint="-0.499984740745262"/>
      <name val="Arial"/>
      <family val="2"/>
    </font>
    <font>
      <sz val="8"/>
      <color theme="1"/>
      <name val="Arial"/>
      <family val="2"/>
    </font>
    <font>
      <sz val="10"/>
      <color theme="0" tint="-0.14999847407452621"/>
      <name val="Arial"/>
      <family val="2"/>
    </font>
    <font>
      <sz val="10"/>
      <color theme="0" tint="-4.9989318521683403E-2"/>
      <name val="Arial"/>
      <family val="2"/>
    </font>
    <font>
      <sz val="11"/>
      <color theme="1"/>
      <name val="Calibri"/>
      <family val="2"/>
      <scheme val="minor"/>
    </font>
    <font>
      <strike/>
      <sz val="10"/>
      <color theme="1"/>
      <name val="Arial"/>
      <family val="2"/>
    </font>
    <font>
      <sz val="10"/>
      <color theme="2"/>
      <name val="Arial"/>
      <family val="2"/>
    </font>
    <font>
      <sz val="13"/>
      <color theme="1"/>
      <name val="Arial"/>
      <family val="2"/>
    </font>
    <font>
      <sz val="8"/>
      <color rgb="FF000000"/>
      <name val="Tahoma"/>
      <family val="2"/>
    </font>
    <font>
      <sz val="8"/>
      <color rgb="FF000000"/>
      <name val="Segoe UI"/>
      <family val="2"/>
    </font>
    <font>
      <sz val="9"/>
      <name val="Arial"/>
      <family val="2"/>
    </font>
    <font>
      <sz val="9"/>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s>
  <borders count="1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top/>
      <bottom style="dashed">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3" fontId="25" fillId="0" borderId="0" applyFont="0" applyFill="0" applyBorder="0" applyAlignment="0" applyProtection="0"/>
    <xf numFmtId="44" fontId="25" fillId="0" borderId="0" applyFont="0" applyFill="0" applyBorder="0" applyAlignment="0" applyProtection="0"/>
    <xf numFmtId="0" fontId="3" fillId="0" borderId="0"/>
    <xf numFmtId="0" fontId="2" fillId="0" borderId="0"/>
    <xf numFmtId="9" fontId="25" fillId="0" borderId="0" applyFont="0" applyFill="0" applyBorder="0" applyAlignment="0" applyProtection="0"/>
  </cellStyleXfs>
  <cellXfs count="1223">
    <xf numFmtId="0" fontId="0" fillId="0" borderId="0" xfId="0"/>
    <xf numFmtId="0" fontId="0" fillId="5" borderId="1" xfId="0" applyFill="1" applyBorder="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0" fillId="6" borderId="0" xfId="0" applyFill="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8" borderId="7" xfId="0" applyFill="1" applyBorder="1"/>
    <xf numFmtId="0" fontId="0" fillId="8" borderId="11" xfId="0" applyFill="1" applyBorder="1"/>
    <xf numFmtId="0" fontId="0" fillId="8" borderId="12" xfId="0" applyFill="1" applyBorder="1"/>
    <xf numFmtId="0" fontId="0" fillId="5" borderId="13" xfId="0" applyFill="1" applyBorder="1"/>
    <xf numFmtId="0" fontId="0" fillId="5" borderId="14" xfId="0" applyFill="1" applyBorder="1"/>
    <xf numFmtId="0" fontId="0" fillId="5" borderId="15" xfId="0" applyFill="1" applyBorder="1"/>
    <xf numFmtId="0" fontId="0" fillId="7" borderId="16" xfId="0" applyFill="1" applyBorder="1"/>
    <xf numFmtId="0" fontId="0" fillId="7" borderId="11" xfId="0" applyFill="1" applyBorder="1"/>
    <xf numFmtId="0" fontId="0" fillId="7" borderId="12" xfId="0" applyFill="1" applyBorder="1"/>
    <xf numFmtId="0" fontId="28" fillId="0" borderId="0" xfId="0" applyFont="1"/>
    <xf numFmtId="0" fontId="3" fillId="0" borderId="0" xfId="3"/>
    <xf numFmtId="0" fontId="4" fillId="0" borderId="0" xfId="3" applyFont="1"/>
    <xf numFmtId="0" fontId="5" fillId="0" borderId="0" xfId="3" applyFont="1"/>
    <xf numFmtId="0" fontId="3" fillId="6" borderId="0" xfId="3" applyFill="1"/>
    <xf numFmtId="0" fontId="4" fillId="6" borderId="0" xfId="3" applyFont="1" applyFill="1" applyAlignment="1">
      <alignment horizontal="center" vertical="center"/>
    </xf>
    <xf numFmtId="0" fontId="7" fillId="6" borderId="0" xfId="3" applyFont="1" applyFill="1" applyAlignment="1">
      <alignment horizontal="center" vertical="center"/>
    </xf>
    <xf numFmtId="0" fontId="4" fillId="6" borderId="0" xfId="3" applyFont="1" applyFill="1"/>
    <xf numFmtId="0" fontId="2" fillId="6" borderId="0" xfId="3" applyFont="1" applyFill="1" applyAlignment="1">
      <alignment vertical="center" wrapText="1"/>
    </xf>
    <xf numFmtId="0" fontId="4" fillId="6" borderId="0" xfId="3" applyFont="1" applyFill="1" applyAlignment="1">
      <alignment vertical="center"/>
    </xf>
    <xf numFmtId="0" fontId="4" fillId="9" borderId="17" xfId="3" applyFont="1" applyFill="1" applyBorder="1" applyAlignment="1">
      <alignment horizontal="center" vertical="center"/>
    </xf>
    <xf numFmtId="0" fontId="8" fillId="0" borderId="0" xfId="3" applyFont="1"/>
    <xf numFmtId="0" fontId="4" fillId="2" borderId="18" xfId="3" applyFont="1" applyFill="1" applyBorder="1" applyAlignment="1">
      <alignment horizontal="center" vertical="center"/>
    </xf>
    <xf numFmtId="0" fontId="3" fillId="2" borderId="0" xfId="3" applyFill="1" applyAlignment="1">
      <alignment horizontal="center" vertical="center"/>
    </xf>
    <xf numFmtId="17" fontId="3" fillId="3" borderId="17" xfId="3" applyNumberFormat="1" applyFill="1" applyBorder="1" applyAlignment="1">
      <alignment horizontal="center" vertical="center"/>
    </xf>
    <xf numFmtId="0" fontId="3" fillId="6" borderId="0" xfId="3" applyFill="1" applyAlignment="1">
      <alignment horizontal="center" vertical="center"/>
    </xf>
    <xf numFmtId="0" fontId="3" fillId="2" borderId="19" xfId="3" applyFill="1" applyBorder="1" applyAlignment="1">
      <alignment horizontal="center" vertical="center"/>
    </xf>
    <xf numFmtId="0" fontId="4" fillId="2" borderId="18" xfId="3" applyFont="1" applyFill="1" applyBorder="1" applyAlignment="1">
      <alignment horizontal="left" vertical="center" wrapText="1"/>
    </xf>
    <xf numFmtId="0" fontId="3" fillId="2" borderId="19" xfId="3" applyFill="1" applyBorder="1" applyAlignment="1">
      <alignment horizontal="left" vertical="center" wrapText="1"/>
    </xf>
    <xf numFmtId="0" fontId="3" fillId="2" borderId="0" xfId="3" applyFill="1" applyAlignment="1">
      <alignment horizontal="left" vertical="center" wrapText="1"/>
    </xf>
    <xf numFmtId="0" fontId="4" fillId="2" borderId="0" xfId="3" applyFont="1" applyFill="1" applyAlignment="1">
      <alignment horizontal="center"/>
    </xf>
    <xf numFmtId="0" fontId="4" fillId="2" borderId="20" xfId="3" applyFont="1" applyFill="1" applyBorder="1" applyAlignment="1">
      <alignment horizontal="center"/>
    </xf>
    <xf numFmtId="0" fontId="4" fillId="2" borderId="21" xfId="3" applyFont="1" applyFill="1" applyBorder="1" applyAlignment="1">
      <alignment horizontal="center"/>
    </xf>
    <xf numFmtId="0" fontId="4" fillId="2" borderId="18" xfId="3" applyFont="1" applyFill="1" applyBorder="1" applyAlignment="1">
      <alignment horizontal="left" indent="1"/>
    </xf>
    <xf numFmtId="0" fontId="3" fillId="2" borderId="0" xfId="3" applyFill="1"/>
    <xf numFmtId="165" fontId="3" fillId="3" borderId="22" xfId="3" applyNumberFormat="1" applyFill="1" applyBorder="1"/>
    <xf numFmtId="0" fontId="3" fillId="2" borderId="19" xfId="3" applyFill="1" applyBorder="1"/>
    <xf numFmtId="165" fontId="3" fillId="3" borderId="26" xfId="3" applyNumberFormat="1" applyFill="1" applyBorder="1"/>
    <xf numFmtId="165" fontId="3" fillId="2" borderId="0" xfId="3" applyNumberFormat="1" applyFill="1"/>
    <xf numFmtId="165" fontId="3" fillId="3" borderId="30" xfId="3" applyNumberFormat="1" applyFill="1" applyBorder="1"/>
    <xf numFmtId="165" fontId="3" fillId="2" borderId="34" xfId="3" applyNumberFormat="1" applyFill="1" applyBorder="1"/>
    <xf numFmtId="165" fontId="3" fillId="2" borderId="35" xfId="3" applyNumberFormat="1" applyFill="1" applyBorder="1"/>
    <xf numFmtId="0" fontId="3" fillId="2" borderId="35" xfId="3" applyFill="1" applyBorder="1"/>
    <xf numFmtId="0" fontId="3" fillId="2" borderId="36" xfId="3" applyFill="1" applyBorder="1"/>
    <xf numFmtId="165" fontId="3" fillId="2" borderId="18" xfId="3" applyNumberFormat="1" applyFill="1" applyBorder="1"/>
    <xf numFmtId="0" fontId="2" fillId="2" borderId="18" xfId="3" applyFont="1" applyFill="1" applyBorder="1" applyAlignment="1">
      <alignment horizontal="left" indent="1"/>
    </xf>
    <xf numFmtId="0" fontId="3" fillId="2" borderId="18" xfId="3" applyFill="1" applyBorder="1"/>
    <xf numFmtId="0" fontId="4" fillId="2" borderId="0" xfId="3" applyFont="1" applyFill="1" applyAlignment="1">
      <alignment horizontal="centerContinuous"/>
    </xf>
    <xf numFmtId="0" fontId="9" fillId="2" borderId="0" xfId="3" applyFont="1" applyFill="1" applyAlignment="1">
      <alignment horizontal="centerContinuous"/>
    </xf>
    <xf numFmtId="0" fontId="9" fillId="2" borderId="0" xfId="3" applyFont="1" applyFill="1"/>
    <xf numFmtId="0" fontId="4" fillId="2" borderId="18" xfId="3" applyFont="1" applyFill="1" applyBorder="1" applyAlignment="1">
      <alignment horizontal="centerContinuous"/>
    </xf>
    <xf numFmtId="1" fontId="3" fillId="2" borderId="35" xfId="3" applyNumberFormat="1" applyFill="1" applyBorder="1"/>
    <xf numFmtId="1" fontId="3" fillId="0" borderId="0" xfId="3" applyNumberFormat="1"/>
    <xf numFmtId="0" fontId="6" fillId="2" borderId="18"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19" xfId="3" applyFont="1" applyFill="1" applyBorder="1" applyAlignment="1">
      <alignment horizontal="center" vertical="center" wrapText="1"/>
    </xf>
    <xf numFmtId="0" fontId="0" fillId="6" borderId="0" xfId="0" applyFill="1" applyAlignment="1">
      <alignment horizontal="center" vertical="center"/>
    </xf>
    <xf numFmtId="0" fontId="4" fillId="2" borderId="0" xfId="3" applyFont="1" applyFill="1"/>
    <xf numFmtId="1" fontId="3" fillId="0" borderId="26" xfId="3" applyNumberFormat="1" applyBorder="1"/>
    <xf numFmtId="1" fontId="3" fillId="9" borderId="37" xfId="3" applyNumberFormat="1" applyFill="1" applyBorder="1"/>
    <xf numFmtId="1" fontId="3" fillId="9" borderId="28" xfId="3" applyNumberFormat="1" applyFill="1" applyBorder="1"/>
    <xf numFmtId="1" fontId="3" fillId="9" borderId="29" xfId="3" applyNumberFormat="1" applyFill="1" applyBorder="1"/>
    <xf numFmtId="1" fontId="3" fillId="0" borderId="30" xfId="3" applyNumberFormat="1" applyBorder="1"/>
    <xf numFmtId="1" fontId="3" fillId="9" borderId="38" xfId="3" applyNumberFormat="1" applyFill="1" applyBorder="1"/>
    <xf numFmtId="1" fontId="3" fillId="9" borderId="32" xfId="3" applyNumberFormat="1" applyFill="1" applyBorder="1"/>
    <xf numFmtId="1" fontId="3" fillId="9" borderId="33" xfId="3" applyNumberFormat="1" applyFill="1" applyBorder="1"/>
    <xf numFmtId="0" fontId="4" fillId="2" borderId="34" xfId="3" applyFont="1" applyFill="1" applyBorder="1"/>
    <xf numFmtId="0" fontId="4" fillId="2" borderId="35" xfId="3" applyFont="1" applyFill="1" applyBorder="1"/>
    <xf numFmtId="0" fontId="4" fillId="6" borderId="18" xfId="3" applyFont="1" applyFill="1" applyBorder="1" applyAlignment="1">
      <alignment horizontal="left" indent="1"/>
    </xf>
    <xf numFmtId="0" fontId="3" fillId="6" borderId="19" xfId="3" applyFill="1" applyBorder="1"/>
    <xf numFmtId="0" fontId="3" fillId="6" borderId="35" xfId="3" applyFill="1" applyBorder="1"/>
    <xf numFmtId="0" fontId="3" fillId="6" borderId="36" xfId="3" applyFill="1" applyBorder="1"/>
    <xf numFmtId="0" fontId="0" fillId="0" borderId="0" xfId="0" applyProtection="1">
      <protection locked="0"/>
    </xf>
    <xf numFmtId="0" fontId="0" fillId="6" borderId="19" xfId="0" applyFill="1" applyBorder="1"/>
    <xf numFmtId="44" fontId="3" fillId="3" borderId="17" xfId="2" applyFont="1" applyFill="1" applyBorder="1" applyAlignment="1" applyProtection="1">
      <alignment vertical="center"/>
    </xf>
    <xf numFmtId="0" fontId="0" fillId="6" borderId="18" xfId="0" applyFill="1" applyBorder="1"/>
    <xf numFmtId="0" fontId="0" fillId="6" borderId="0" xfId="0" applyFill="1" applyAlignment="1">
      <alignment horizontal="right"/>
    </xf>
    <xf numFmtId="0" fontId="0" fillId="6" borderId="0" xfId="0" applyFill="1" applyAlignment="1">
      <alignment horizontal="right" indent="1"/>
    </xf>
    <xf numFmtId="0" fontId="0" fillId="6" borderId="34" xfId="0" applyFill="1" applyBorder="1"/>
    <xf numFmtId="0" fontId="0" fillId="6" borderId="35" xfId="0" applyFill="1" applyBorder="1"/>
    <xf numFmtId="0" fontId="0" fillId="6" borderId="36" xfId="0" applyFill="1" applyBorder="1"/>
    <xf numFmtId="0" fontId="4" fillId="10" borderId="39" xfId="0" applyFont="1" applyFill="1" applyBorder="1" applyAlignment="1">
      <alignment horizontal="center" vertical="center"/>
    </xf>
    <xf numFmtId="0" fontId="4" fillId="10" borderId="0" xfId="0" applyFont="1" applyFill="1" applyAlignment="1">
      <alignment horizontal="center" vertical="center"/>
    </xf>
    <xf numFmtId="0" fontId="4" fillId="10" borderId="40" xfId="0" applyFont="1" applyFill="1" applyBorder="1" applyAlignment="1">
      <alignment horizontal="center" vertical="center"/>
    </xf>
    <xf numFmtId="0" fontId="4" fillId="10" borderId="4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42" xfId="0" applyFont="1" applyFill="1" applyBorder="1" applyAlignment="1">
      <alignment horizontal="center" vertical="center"/>
    </xf>
    <xf numFmtId="0" fontId="0" fillId="6" borderId="39" xfId="0" applyFill="1" applyBorder="1"/>
    <xf numFmtId="0" fontId="0" fillId="6" borderId="40" xfId="0" applyFill="1" applyBorder="1"/>
    <xf numFmtId="0" fontId="0" fillId="6" borderId="11" xfId="0" applyFill="1" applyBorder="1"/>
    <xf numFmtId="0" fontId="0" fillId="6" borderId="16" xfId="0" applyFill="1" applyBorder="1"/>
    <xf numFmtId="0" fontId="0" fillId="6" borderId="12" xfId="0" applyFill="1" applyBorder="1"/>
    <xf numFmtId="0" fontId="0" fillId="6" borderId="17" xfId="0" applyFill="1" applyBorder="1" applyAlignment="1" applyProtection="1">
      <alignment horizontal="left" vertical="top" indent="1"/>
      <protection locked="0"/>
    </xf>
    <xf numFmtId="0" fontId="0" fillId="6" borderId="43" xfId="0" applyFill="1" applyBorder="1" applyAlignment="1" applyProtection="1">
      <alignment horizontal="left" vertical="top" indent="1"/>
      <protection locked="0"/>
    </xf>
    <xf numFmtId="0" fontId="2" fillId="0" borderId="0" xfId="4"/>
    <xf numFmtId="0" fontId="13" fillId="0" borderId="0" xfId="4" applyFont="1"/>
    <xf numFmtId="0" fontId="16" fillId="0" borderId="0" xfId="4" applyFont="1"/>
    <xf numFmtId="0" fontId="17" fillId="0" borderId="0" xfId="4" applyFont="1"/>
    <xf numFmtId="0" fontId="16" fillId="0" borderId="0" xfId="4" applyFont="1" applyAlignment="1">
      <alignment horizontal="left" indent="1"/>
    </xf>
    <xf numFmtId="0" fontId="16" fillId="0" borderId="0" xfId="4" applyFont="1" applyAlignment="1">
      <alignment horizontal="left" indent="3"/>
    </xf>
    <xf numFmtId="0" fontId="16" fillId="0" borderId="0" xfId="4" applyFont="1" applyAlignment="1">
      <alignment horizontal="left" indent="5"/>
    </xf>
    <xf numFmtId="0" fontId="26" fillId="11" borderId="44" xfId="0" applyFont="1" applyFill="1" applyBorder="1" applyAlignment="1" applyProtection="1">
      <alignment horizontal="right"/>
      <protection locked="0"/>
    </xf>
    <xf numFmtId="0" fontId="26" fillId="11" borderId="45" xfId="0" applyFont="1" applyFill="1" applyBorder="1" applyAlignment="1" applyProtection="1">
      <alignment horizontal="right"/>
      <protection locked="0"/>
    </xf>
    <xf numFmtId="0" fontId="26" fillId="11" borderId="46" xfId="0" applyFont="1" applyFill="1" applyBorder="1" applyAlignment="1" applyProtection="1">
      <alignment horizontal="right"/>
      <protection locked="0"/>
    </xf>
    <xf numFmtId="0" fontId="26" fillId="11" borderId="47" xfId="0" applyFont="1" applyFill="1" applyBorder="1" applyAlignment="1">
      <alignment horizontal="center"/>
    </xf>
    <xf numFmtId="0" fontId="26" fillId="11" borderId="48" xfId="0" applyFont="1" applyFill="1" applyBorder="1" applyAlignment="1">
      <alignment horizontal="center"/>
    </xf>
    <xf numFmtId="0" fontId="26" fillId="11" borderId="14" xfId="0" applyFont="1" applyFill="1" applyBorder="1" applyAlignment="1">
      <alignment horizontal="center"/>
    </xf>
    <xf numFmtId="0" fontId="26" fillId="11" borderId="49" xfId="0" applyFont="1" applyFill="1" applyBorder="1" applyAlignment="1">
      <alignment horizontal="center"/>
    </xf>
    <xf numFmtId="0" fontId="26" fillId="11" borderId="50" xfId="0" applyFont="1" applyFill="1" applyBorder="1" applyAlignment="1">
      <alignment horizontal="center"/>
    </xf>
    <xf numFmtId="0" fontId="26" fillId="11" borderId="51" xfId="0" applyFont="1" applyFill="1" applyBorder="1" applyAlignment="1">
      <alignment horizontal="center"/>
    </xf>
    <xf numFmtId="0" fontId="26" fillId="11" borderId="47" xfId="0" applyFont="1" applyFill="1" applyBorder="1" applyAlignment="1">
      <alignment horizontal="right"/>
    </xf>
    <xf numFmtId="0" fontId="26" fillId="11" borderId="48" xfId="0" applyFont="1" applyFill="1" applyBorder="1" applyAlignment="1">
      <alignment horizontal="right"/>
    </xf>
    <xf numFmtId="0" fontId="26" fillId="11" borderId="14" xfId="0" applyFont="1" applyFill="1" applyBorder="1" applyAlignment="1">
      <alignment horizontal="right"/>
    </xf>
    <xf numFmtId="0" fontId="26" fillId="11" borderId="49" xfId="0" applyFont="1" applyFill="1" applyBorder="1" applyAlignment="1">
      <alignment horizontal="right"/>
    </xf>
    <xf numFmtId="0" fontId="26" fillId="11" borderId="50" xfId="0" applyFont="1" applyFill="1" applyBorder="1" applyAlignment="1">
      <alignment horizontal="right"/>
    </xf>
    <xf numFmtId="0" fontId="26" fillId="11" borderId="51" xfId="0" applyFont="1" applyFill="1" applyBorder="1" applyAlignment="1">
      <alignment horizontal="right"/>
    </xf>
    <xf numFmtId="0" fontId="26" fillId="11" borderId="47" xfId="0" applyFont="1" applyFill="1" applyBorder="1"/>
    <xf numFmtId="0" fontId="26" fillId="11" borderId="14" xfId="0" applyFont="1" applyFill="1" applyBorder="1"/>
    <xf numFmtId="0" fontId="26" fillId="11" borderId="50" xfId="0" applyFont="1" applyFill="1" applyBorder="1"/>
    <xf numFmtId="0" fontId="0" fillId="0" borderId="0" xfId="0" applyAlignment="1">
      <alignment horizontal="left" indent="1"/>
    </xf>
    <xf numFmtId="0" fontId="29" fillId="10" borderId="14" xfId="0" applyFont="1" applyFill="1" applyBorder="1" applyAlignment="1">
      <alignment horizontal="center"/>
    </xf>
    <xf numFmtId="0" fontId="30" fillId="10" borderId="14" xfId="0" applyFont="1" applyFill="1" applyBorder="1" applyAlignment="1">
      <alignment horizontal="center"/>
    </xf>
    <xf numFmtId="0" fontId="30" fillId="0" borderId="0" xfId="0" applyFont="1" applyAlignment="1">
      <alignment horizontal="center"/>
    </xf>
    <xf numFmtId="0" fontId="31" fillId="0" borderId="0" xfId="0" applyFont="1" applyAlignment="1">
      <alignment horizontal="left" indent="1"/>
    </xf>
    <xf numFmtId="14" fontId="0" fillId="0" borderId="0" xfId="0" applyNumberFormat="1" applyAlignment="1">
      <alignment horizontal="left" indent="1"/>
    </xf>
    <xf numFmtId="0" fontId="0" fillId="12" borderId="0" xfId="0" applyFill="1"/>
    <xf numFmtId="0" fontId="0" fillId="12" borderId="0" xfId="0" applyFill="1" applyAlignment="1">
      <alignment horizontal="right"/>
    </xf>
    <xf numFmtId="2" fontId="0" fillId="12" borderId="0" xfId="0" applyNumberFormat="1" applyFill="1" applyAlignment="1">
      <alignment horizontal="center"/>
    </xf>
    <xf numFmtId="0" fontId="0" fillId="12" borderId="0" xfId="0" applyFill="1" applyAlignment="1">
      <alignment horizontal="center"/>
    </xf>
    <xf numFmtId="0" fontId="27" fillId="12" borderId="0" xfId="0" applyFont="1" applyFill="1" applyAlignment="1">
      <alignment horizontal="right"/>
    </xf>
    <xf numFmtId="0" fontId="27" fillId="12" borderId="0" xfId="0" applyFont="1" applyFill="1"/>
    <xf numFmtId="0" fontId="33" fillId="12" borderId="0" xfId="0" applyFont="1" applyFill="1"/>
    <xf numFmtId="0" fontId="0" fillId="12" borderId="52" xfId="0" applyFill="1" applyBorder="1"/>
    <xf numFmtId="0" fontId="2" fillId="12" borderId="0" xfId="0" applyFont="1" applyFill="1"/>
    <xf numFmtId="0" fontId="4" fillId="12" borderId="0" xfId="0" applyFont="1" applyFill="1"/>
    <xf numFmtId="0" fontId="0" fillId="12" borderId="53" xfId="0" applyFill="1" applyBorder="1"/>
    <xf numFmtId="0" fontId="0" fillId="12" borderId="54" xfId="0" applyFill="1" applyBorder="1"/>
    <xf numFmtId="0" fontId="0" fillId="12" borderId="0" xfId="0" quotePrefix="1" applyFill="1" applyAlignment="1">
      <alignment horizontal="right" indent="1"/>
    </xf>
    <xf numFmtId="0" fontId="0" fillId="12" borderId="55" xfId="0" applyFill="1" applyBorder="1"/>
    <xf numFmtId="0" fontId="0" fillId="12" borderId="7" xfId="0" applyFill="1" applyBorder="1"/>
    <xf numFmtId="0" fontId="0" fillId="12" borderId="0" xfId="0" quotePrefix="1" applyFill="1"/>
    <xf numFmtId="0" fontId="0" fillId="12" borderId="56" xfId="0" applyFill="1" applyBorder="1"/>
    <xf numFmtId="0" fontId="0" fillId="12" borderId="7" xfId="0" applyFill="1" applyBorder="1" applyAlignment="1">
      <alignment horizontal="right"/>
    </xf>
    <xf numFmtId="44" fontId="0" fillId="12" borderId="7" xfId="0" applyNumberFormat="1" applyFill="1" applyBorder="1"/>
    <xf numFmtId="0" fontId="0" fillId="12" borderId="57" xfId="0" applyFill="1" applyBorder="1"/>
    <xf numFmtId="0" fontId="0" fillId="12" borderId="58" xfId="0" applyFill="1" applyBorder="1"/>
    <xf numFmtId="0" fontId="0" fillId="12" borderId="59" xfId="0" applyFill="1" applyBorder="1"/>
    <xf numFmtId="0" fontId="0" fillId="12" borderId="5" xfId="0" applyFill="1" applyBorder="1"/>
    <xf numFmtId="0" fontId="0" fillId="12" borderId="0" xfId="0" applyFill="1" applyAlignment="1">
      <alignment horizontal="center" vertical="center"/>
    </xf>
    <xf numFmtId="0" fontId="34" fillId="12" borderId="0" xfId="0" applyFont="1" applyFill="1"/>
    <xf numFmtId="0" fontId="0" fillId="14" borderId="9" xfId="0" applyFill="1" applyBorder="1" applyAlignment="1">
      <alignment vertical="center"/>
    </xf>
    <xf numFmtId="0" fontId="0" fillId="14" borderId="60" xfId="0" applyFill="1" applyBorder="1" applyAlignment="1">
      <alignment vertical="center"/>
    </xf>
    <xf numFmtId="0" fontId="0" fillId="12" borderId="39" xfId="0" applyFill="1" applyBorder="1"/>
    <xf numFmtId="0" fontId="0" fillId="12" borderId="41" xfId="0" applyFill="1" applyBorder="1"/>
    <xf numFmtId="0" fontId="0" fillId="12" borderId="2" xfId="0" applyFill="1" applyBorder="1"/>
    <xf numFmtId="0" fontId="0" fillId="12" borderId="11" xfId="0" applyFill="1" applyBorder="1"/>
    <xf numFmtId="0" fontId="0" fillId="12" borderId="16" xfId="0" applyFill="1" applyBorder="1"/>
    <xf numFmtId="0" fontId="0" fillId="12" borderId="40" xfId="0" applyFill="1" applyBorder="1"/>
    <xf numFmtId="0" fontId="0" fillId="12" borderId="42" xfId="0" applyFill="1" applyBorder="1"/>
    <xf numFmtId="0" fontId="0" fillId="12" borderId="12" xfId="0" applyFill="1" applyBorder="1"/>
    <xf numFmtId="0" fontId="0" fillId="12" borderId="0" xfId="0" applyFill="1" applyAlignment="1" applyProtection="1">
      <alignment horizontal="center"/>
      <protection locked="0"/>
    </xf>
    <xf numFmtId="0" fontId="27" fillId="12" borderId="0" xfId="0" applyFont="1" applyFill="1" applyAlignment="1">
      <alignment horizontal="left"/>
    </xf>
    <xf numFmtId="0" fontId="27" fillId="12" borderId="0" xfId="0" applyFont="1" applyFill="1" applyAlignment="1">
      <alignment horizontal="left" indent="1"/>
    </xf>
    <xf numFmtId="0" fontId="0" fillId="12" borderId="0" xfId="0" applyFill="1" applyAlignment="1">
      <alignment horizontal="right" indent="1"/>
    </xf>
    <xf numFmtId="44" fontId="0" fillId="12" borderId="0" xfId="0" applyNumberFormat="1" applyFill="1"/>
    <xf numFmtId="2" fontId="0" fillId="12" borderId="0" xfId="0" applyNumberFormat="1" applyFill="1" applyAlignment="1" applyProtection="1">
      <alignment horizontal="center"/>
      <protection locked="0"/>
    </xf>
    <xf numFmtId="2" fontId="25" fillId="12" borderId="0" xfId="5" applyNumberFormat="1" applyFont="1" applyFill="1" applyBorder="1" applyAlignment="1" applyProtection="1">
      <alignment horizontal="center"/>
      <protection locked="0"/>
    </xf>
    <xf numFmtId="44" fontId="0" fillId="12" borderId="0" xfId="0" applyNumberFormat="1" applyFill="1" applyAlignment="1">
      <alignment horizontal="right" indent="1"/>
    </xf>
    <xf numFmtId="0" fontId="0" fillId="12" borderId="0" xfId="0" applyFill="1" applyAlignment="1">
      <alignment horizontal="left"/>
    </xf>
    <xf numFmtId="0" fontId="27" fillId="12" borderId="0" xfId="0" applyFont="1" applyFill="1" applyAlignment="1">
      <alignment horizontal="left" vertical="center" indent="1"/>
    </xf>
    <xf numFmtId="0" fontId="27" fillId="12" borderId="52" xfId="0" applyFont="1" applyFill="1" applyBorder="1" applyAlignment="1">
      <alignment horizontal="left"/>
    </xf>
    <xf numFmtId="44" fontId="0" fillId="12" borderId="52" xfId="0" applyNumberFormat="1" applyFill="1" applyBorder="1"/>
    <xf numFmtId="44" fontId="0" fillId="12" borderId="0" xfId="0" applyNumberFormat="1" applyFill="1" applyAlignment="1">
      <alignment vertical="center"/>
    </xf>
    <xf numFmtId="0" fontId="4" fillId="12" borderId="39" xfId="0" applyFont="1" applyFill="1" applyBorder="1" applyAlignment="1">
      <alignment horizontal="center" vertical="center"/>
    </xf>
    <xf numFmtId="0" fontId="4" fillId="12" borderId="0" xfId="0" applyFont="1" applyFill="1" applyAlignment="1">
      <alignment horizontal="center" vertical="center"/>
    </xf>
    <xf numFmtId="0" fontId="4" fillId="12" borderId="40" xfId="0" applyFont="1" applyFill="1" applyBorder="1" applyAlignment="1">
      <alignment horizontal="center" vertical="center"/>
    </xf>
    <xf numFmtId="168" fontId="0" fillId="12" borderId="0" xfId="0" applyNumberFormat="1" applyFill="1"/>
    <xf numFmtId="0" fontId="0" fillId="12" borderId="0" xfId="0" applyFill="1" applyAlignment="1">
      <alignment vertical="center"/>
    </xf>
    <xf numFmtId="168" fontId="0" fillId="12" borderId="52" xfId="0" applyNumberFormat="1" applyFill="1" applyBorder="1"/>
    <xf numFmtId="0" fontId="0" fillId="12" borderId="61" xfId="0" applyFill="1" applyBorder="1" applyAlignment="1">
      <alignment horizontal="center" vertical="center"/>
    </xf>
    <xf numFmtId="0" fontId="0" fillId="12" borderId="6" xfId="0" applyFill="1" applyBorder="1" applyAlignment="1">
      <alignment horizontal="center" vertical="center"/>
    </xf>
    <xf numFmtId="0" fontId="0" fillId="14" borderId="45" xfId="0" applyFill="1" applyBorder="1"/>
    <xf numFmtId="0" fontId="0" fillId="14" borderId="14" xfId="0" applyFill="1" applyBorder="1"/>
    <xf numFmtId="0" fontId="0" fillId="14" borderId="49" xfId="0" applyFill="1" applyBorder="1"/>
    <xf numFmtId="0" fontId="0" fillId="14" borderId="13" xfId="0" applyFill="1" applyBorder="1"/>
    <xf numFmtId="0" fontId="0" fillId="14" borderId="52" xfId="0" applyFill="1" applyBorder="1"/>
    <xf numFmtId="0" fontId="0" fillId="14" borderId="15" xfId="0" applyFill="1" applyBorder="1"/>
    <xf numFmtId="0" fontId="0" fillId="15" borderId="45" xfId="0" applyFill="1" applyBorder="1" applyAlignment="1">
      <alignment vertical="center"/>
    </xf>
    <xf numFmtId="0" fontId="0" fillId="15" borderId="14" xfId="0" applyFill="1" applyBorder="1" applyAlignment="1">
      <alignment vertical="center"/>
    </xf>
    <xf numFmtId="0" fontId="0" fillId="15" borderId="49" xfId="0" applyFill="1" applyBorder="1" applyAlignment="1">
      <alignment vertical="center"/>
    </xf>
    <xf numFmtId="0" fontId="4" fillId="12" borderId="0" xfId="0" applyFont="1" applyFill="1" applyAlignment="1">
      <alignment horizontal="center"/>
    </xf>
    <xf numFmtId="0" fontId="0" fillId="12" borderId="9" xfId="0" applyFill="1" applyBorder="1" applyAlignment="1">
      <alignment vertical="center"/>
    </xf>
    <xf numFmtId="0" fontId="0" fillId="12" borderId="60" xfId="0" applyFill="1" applyBorder="1" applyAlignment="1">
      <alignment vertical="center"/>
    </xf>
    <xf numFmtId="0" fontId="0" fillId="12" borderId="10" xfId="0" applyFill="1" applyBorder="1" applyAlignment="1">
      <alignment vertical="center"/>
    </xf>
    <xf numFmtId="0" fontId="32" fillId="12" borderId="0" xfId="0" applyFont="1" applyFill="1" applyAlignment="1">
      <alignment horizontal="right"/>
    </xf>
    <xf numFmtId="169" fontId="25" fillId="6" borderId="0" xfId="2" applyNumberFormat="1" applyFont="1" applyFill="1" applyAlignment="1">
      <alignment horizontal="left"/>
    </xf>
    <xf numFmtId="44" fontId="25" fillId="0" borderId="17" xfId="2" applyFont="1" applyBorder="1"/>
    <xf numFmtId="0" fontId="32" fillId="14" borderId="60" xfId="0" applyFont="1" applyFill="1" applyBorder="1" applyAlignment="1">
      <alignment vertical="center"/>
    </xf>
    <xf numFmtId="0" fontId="32" fillId="14" borderId="60" xfId="0" applyFont="1" applyFill="1" applyBorder="1" applyAlignment="1">
      <alignment horizontal="right" vertical="center"/>
    </xf>
    <xf numFmtId="0" fontId="32" fillId="12" borderId="60" xfId="0" applyFont="1" applyFill="1" applyBorder="1" applyAlignment="1">
      <alignment vertical="center"/>
    </xf>
    <xf numFmtId="0" fontId="32" fillId="12" borderId="60" xfId="0" applyFont="1" applyFill="1" applyBorder="1" applyAlignment="1">
      <alignment horizontal="right" vertical="center"/>
    </xf>
    <xf numFmtId="168" fontId="0" fillId="13" borderId="17" xfId="0" applyNumberFormat="1" applyFill="1" applyBorder="1" applyProtection="1">
      <protection locked="0"/>
    </xf>
    <xf numFmtId="0" fontId="0" fillId="12" borderId="60" xfId="0" applyFill="1" applyBorder="1" applyAlignment="1">
      <alignment horizontal="right" vertical="center"/>
    </xf>
    <xf numFmtId="0" fontId="27" fillId="14" borderId="17" xfId="0" applyFont="1" applyFill="1" applyBorder="1" applyAlignment="1">
      <alignment horizontal="center"/>
    </xf>
    <xf numFmtId="0" fontId="27" fillId="12" borderId="0" xfId="0" applyFont="1" applyFill="1" applyAlignment="1">
      <alignment horizontal="center"/>
    </xf>
    <xf numFmtId="2" fontId="0" fillId="0" borderId="0" xfId="0" applyNumberFormat="1" applyProtection="1">
      <protection locked="0"/>
    </xf>
    <xf numFmtId="0" fontId="0" fillId="10" borderId="62" xfId="0" applyFill="1" applyBorder="1" applyAlignment="1">
      <alignment horizontal="center"/>
    </xf>
    <xf numFmtId="0" fontId="0" fillId="0" borderId="17" xfId="0" applyBorder="1" applyAlignment="1">
      <alignment horizontal="center"/>
    </xf>
    <xf numFmtId="0" fontId="0" fillId="0" borderId="0" xfId="0" applyAlignment="1">
      <alignment horizontal="center"/>
    </xf>
    <xf numFmtId="170" fontId="35" fillId="0" borderId="0" xfId="0" applyNumberFormat="1" applyFont="1" applyAlignment="1">
      <alignment horizontal="center"/>
    </xf>
    <xf numFmtId="167" fontId="0" fillId="0" borderId="2" xfId="0" applyNumberFormat="1" applyBorder="1" applyAlignment="1">
      <alignment horizontal="center"/>
    </xf>
    <xf numFmtId="167" fontId="0" fillId="0" borderId="0" xfId="0" applyNumberFormat="1" applyAlignment="1">
      <alignment horizontal="center"/>
    </xf>
    <xf numFmtId="167" fontId="0" fillId="0" borderId="52" xfId="0" applyNumberFormat="1" applyBorder="1" applyAlignment="1">
      <alignment horizontal="center"/>
    </xf>
    <xf numFmtId="0" fontId="4" fillId="2" borderId="17" xfId="3" applyFont="1" applyFill="1" applyBorder="1" applyAlignment="1">
      <alignment horizontal="center"/>
    </xf>
    <xf numFmtId="0" fontId="32" fillId="12" borderId="60" xfId="0" applyFont="1" applyFill="1" applyBorder="1" applyAlignment="1">
      <alignment horizontal="left" vertical="center"/>
    </xf>
    <xf numFmtId="0" fontId="32" fillId="12" borderId="10" xfId="0" applyFont="1" applyFill="1" applyBorder="1" applyAlignment="1">
      <alignment horizontal="left" vertical="center"/>
    </xf>
    <xf numFmtId="167" fontId="36" fillId="6" borderId="2" xfId="0" applyNumberFormat="1" applyFont="1" applyFill="1" applyBorder="1" applyAlignment="1">
      <alignment horizontal="center"/>
    </xf>
    <xf numFmtId="167" fontId="36" fillId="6" borderId="3" xfId="0" applyNumberFormat="1" applyFont="1" applyFill="1" applyBorder="1" applyAlignment="1">
      <alignment horizontal="center"/>
    </xf>
    <xf numFmtId="167" fontId="36" fillId="6" borderId="0" xfId="0" applyNumberFormat="1" applyFont="1" applyFill="1" applyAlignment="1">
      <alignment horizontal="center"/>
    </xf>
    <xf numFmtId="167" fontId="36" fillId="6" borderId="5" xfId="0" applyNumberFormat="1" applyFont="1" applyFill="1" applyBorder="1" applyAlignment="1">
      <alignment horizontal="center"/>
    </xf>
    <xf numFmtId="167" fontId="27" fillId="0" borderId="2" xfId="0" applyNumberFormat="1" applyFont="1" applyBorder="1" applyAlignment="1">
      <alignment horizontal="center"/>
    </xf>
    <xf numFmtId="167" fontId="27" fillId="0" borderId="0" xfId="0" applyNumberFormat="1" applyFont="1" applyAlignment="1">
      <alignment horizontal="center"/>
    </xf>
    <xf numFmtId="167" fontId="27" fillId="0" borderId="3" xfId="0" applyNumberFormat="1" applyFont="1" applyBorder="1" applyAlignment="1">
      <alignment horizontal="center"/>
    </xf>
    <xf numFmtId="167" fontId="27" fillId="0" borderId="5" xfId="0" applyNumberFormat="1" applyFont="1" applyBorder="1" applyAlignment="1">
      <alignment horizontal="center"/>
    </xf>
    <xf numFmtId="167" fontId="27" fillId="0" borderId="15" xfId="0" applyNumberFormat="1" applyFont="1" applyBorder="1" applyAlignment="1">
      <alignment horizontal="center"/>
    </xf>
    <xf numFmtId="0" fontId="4" fillId="12" borderId="52" xfId="0" applyFont="1" applyFill="1" applyBorder="1" applyAlignment="1">
      <alignment horizontal="left" vertical="top" wrapText="1"/>
    </xf>
    <xf numFmtId="0" fontId="4" fillId="12" borderId="52" xfId="0" applyFont="1" applyFill="1" applyBorder="1" applyAlignment="1">
      <alignment vertical="top" wrapText="1"/>
    </xf>
    <xf numFmtId="0" fontId="4" fillId="12" borderId="0" xfId="0" applyFont="1" applyFill="1" applyAlignment="1">
      <alignment horizontal="left" vertical="top"/>
    </xf>
    <xf numFmtId="0" fontId="4" fillId="12" borderId="0" xfId="0" applyFont="1" applyFill="1" applyAlignment="1">
      <alignment horizontal="right" vertical="center"/>
    </xf>
    <xf numFmtId="14" fontId="32" fillId="12" borderId="60" xfId="0" applyNumberFormat="1" applyFont="1" applyFill="1" applyBorder="1" applyAlignment="1">
      <alignment horizontal="right" vertical="center"/>
    </xf>
    <xf numFmtId="14" fontId="32" fillId="12" borderId="60" xfId="0" applyNumberFormat="1" applyFont="1" applyFill="1" applyBorder="1" applyAlignment="1">
      <alignment horizontal="center" vertical="center"/>
    </xf>
    <xf numFmtId="0" fontId="27" fillId="12" borderId="52" xfId="0" applyFont="1" applyFill="1" applyBorder="1"/>
    <xf numFmtId="1" fontId="0" fillId="0" borderId="1" xfId="0" applyNumberForma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0" xfId="0" applyNumberFormat="1" applyAlignment="1" applyProtection="1">
      <alignment horizontal="center" vertical="center"/>
      <protection locked="0"/>
    </xf>
    <xf numFmtId="1" fontId="0" fillId="0" borderId="13" xfId="0" applyNumberFormat="1" applyBorder="1" applyAlignment="1" applyProtection="1">
      <alignment horizontal="center" vertical="center"/>
      <protection locked="0"/>
    </xf>
    <xf numFmtId="1" fontId="0" fillId="0" borderId="52" xfId="0" applyNumberFormat="1" applyBorder="1" applyAlignment="1" applyProtection="1">
      <alignment horizontal="center" vertical="center"/>
      <protection locked="0"/>
    </xf>
    <xf numFmtId="171" fontId="0" fillId="13" borderId="17" xfId="0" applyNumberFormat="1" applyFill="1" applyBorder="1"/>
    <xf numFmtId="171" fontId="2" fillId="13" borderId="17" xfId="0" applyNumberFormat="1" applyFont="1" applyFill="1" applyBorder="1"/>
    <xf numFmtId="170" fontId="0" fillId="13" borderId="43" xfId="0" applyNumberFormat="1" applyFill="1" applyBorder="1" applyAlignment="1">
      <alignment horizontal="center"/>
    </xf>
    <xf numFmtId="170" fontId="0" fillId="13" borderId="67" xfId="0" applyNumberFormat="1" applyFill="1" applyBorder="1" applyAlignment="1">
      <alignment horizontal="center"/>
    </xf>
    <xf numFmtId="173" fontId="0" fillId="0" borderId="0" xfId="0" applyNumberFormat="1"/>
    <xf numFmtId="173" fontId="29" fillId="10" borderId="14" xfId="0" applyNumberFormat="1" applyFont="1" applyFill="1" applyBorder="1" applyAlignment="1">
      <alignment horizontal="center"/>
    </xf>
    <xf numFmtId="173" fontId="31" fillId="0" borderId="0" xfId="0" applyNumberFormat="1" applyFont="1"/>
    <xf numFmtId="0" fontId="3" fillId="6" borderId="68" xfId="3" applyFill="1" applyBorder="1"/>
    <xf numFmtId="0" fontId="3" fillId="6" borderId="69" xfId="3" applyFill="1" applyBorder="1"/>
    <xf numFmtId="0" fontId="3" fillId="6" borderId="70" xfId="3" applyFill="1" applyBorder="1"/>
    <xf numFmtId="0" fontId="3" fillId="6" borderId="18" xfId="3" applyFill="1" applyBorder="1"/>
    <xf numFmtId="0" fontId="3" fillId="6" borderId="19" xfId="3" applyFill="1" applyBorder="1" applyAlignment="1">
      <alignment vertical="center" wrapText="1"/>
    </xf>
    <xf numFmtId="0" fontId="3" fillId="6" borderId="34" xfId="3" applyFill="1" applyBorder="1"/>
    <xf numFmtId="1" fontId="22" fillId="0" borderId="71" xfId="3" applyNumberFormat="1" applyFont="1" applyBorder="1"/>
    <xf numFmtId="1" fontId="22" fillId="0" borderId="6" xfId="3" applyNumberFormat="1" applyFont="1" applyBorder="1"/>
    <xf numFmtId="1" fontId="22" fillId="0" borderId="72" xfId="3" applyNumberFormat="1" applyFont="1" applyBorder="1"/>
    <xf numFmtId="0" fontId="7" fillId="6" borderId="19" xfId="3" applyFont="1" applyFill="1" applyBorder="1" applyAlignment="1">
      <alignment horizontal="center" vertical="center"/>
    </xf>
    <xf numFmtId="0" fontId="4" fillId="6" borderId="19" xfId="3" applyFont="1" applyFill="1" applyBorder="1"/>
    <xf numFmtId="0" fontId="5" fillId="6" borderId="19" xfId="3" applyFont="1" applyFill="1" applyBorder="1"/>
    <xf numFmtId="0" fontId="5" fillId="6" borderId="34" xfId="3" applyFont="1" applyFill="1" applyBorder="1"/>
    <xf numFmtId="0" fontId="4" fillId="6" borderId="35" xfId="3" applyFont="1" applyFill="1" applyBorder="1"/>
    <xf numFmtId="0" fontId="4" fillId="6" borderId="36" xfId="3" applyFont="1" applyFill="1" applyBorder="1"/>
    <xf numFmtId="0" fontId="6" fillId="0" borderId="0" xfId="3" applyFont="1" applyAlignment="1">
      <alignment vertical="center"/>
    </xf>
    <xf numFmtId="0" fontId="7" fillId="0" borderId="0" xfId="3" applyFont="1" applyAlignment="1">
      <alignment horizontal="center" vertical="center"/>
    </xf>
    <xf numFmtId="0" fontId="2" fillId="6" borderId="18" xfId="3" applyFont="1" applyFill="1" applyBorder="1" applyAlignment="1">
      <alignment vertical="center" wrapText="1"/>
    </xf>
    <xf numFmtId="0" fontId="8" fillId="6" borderId="19" xfId="3" applyFont="1" applyFill="1" applyBorder="1"/>
    <xf numFmtId="0" fontId="2" fillId="6" borderId="34" xfId="3" applyFont="1" applyFill="1" applyBorder="1" applyAlignment="1">
      <alignment vertical="center" wrapText="1"/>
    </xf>
    <xf numFmtId="0" fontId="2" fillId="6" borderId="35" xfId="3" applyFont="1" applyFill="1" applyBorder="1" applyAlignment="1">
      <alignment vertical="center" wrapText="1"/>
    </xf>
    <xf numFmtId="0" fontId="3" fillId="5" borderId="68" xfId="3" applyFill="1" applyBorder="1"/>
    <xf numFmtId="0" fontId="3" fillId="5" borderId="69" xfId="3" applyFill="1" applyBorder="1"/>
    <xf numFmtId="0" fontId="3" fillId="5" borderId="70" xfId="3" applyFill="1" applyBorder="1"/>
    <xf numFmtId="0" fontId="2" fillId="5" borderId="68" xfId="3" applyFont="1" applyFill="1" applyBorder="1"/>
    <xf numFmtId="0" fontId="4" fillId="2" borderId="0" xfId="3" applyFont="1" applyFill="1" applyAlignment="1">
      <alignment horizontal="center" vertical="center" wrapText="1"/>
    </xf>
    <xf numFmtId="1" fontId="3" fillId="3" borderId="17" xfId="3" applyNumberFormat="1" applyFill="1" applyBorder="1"/>
    <xf numFmtId="0" fontId="4" fillId="2" borderId="18" xfId="3" applyFont="1" applyFill="1" applyBorder="1" applyAlignment="1">
      <alignment horizontal="left" indent="2"/>
    </xf>
    <xf numFmtId="165" fontId="4" fillId="2" borderId="18" xfId="3" applyNumberFormat="1" applyFont="1" applyFill="1" applyBorder="1" applyAlignment="1">
      <alignment horizontal="left" indent="2"/>
    </xf>
    <xf numFmtId="0" fontId="2" fillId="6" borderId="0" xfId="3" applyFont="1" applyFill="1" applyAlignment="1">
      <alignment horizontal="center" vertical="center"/>
    </xf>
    <xf numFmtId="0" fontId="5" fillId="5" borderId="68" xfId="3" applyFont="1" applyFill="1" applyBorder="1"/>
    <xf numFmtId="0" fontId="4" fillId="5" borderId="69" xfId="3" applyFont="1" applyFill="1" applyBorder="1"/>
    <xf numFmtId="0" fontId="4" fillId="5" borderId="70" xfId="3" applyFont="1" applyFill="1" applyBorder="1"/>
    <xf numFmtId="1" fontId="3" fillId="11" borderId="22" xfId="3" applyNumberFormat="1" applyFill="1" applyBorder="1"/>
    <xf numFmtId="1" fontId="3" fillId="11" borderId="30" xfId="3" applyNumberFormat="1" applyFill="1" applyBorder="1"/>
    <xf numFmtId="1" fontId="3" fillId="9" borderId="104" xfId="3" applyNumberFormat="1" applyFill="1" applyBorder="1"/>
    <xf numFmtId="1" fontId="3" fillId="9" borderId="105" xfId="3" applyNumberFormat="1" applyFill="1" applyBorder="1"/>
    <xf numFmtId="1" fontId="3" fillId="9" borderId="106" xfId="3" applyNumberFormat="1" applyFill="1" applyBorder="1"/>
    <xf numFmtId="1" fontId="3" fillId="9" borderId="23" xfId="3" applyNumberFormat="1" applyFill="1" applyBorder="1"/>
    <xf numFmtId="1" fontId="3" fillId="9" borderId="24" xfId="3" applyNumberFormat="1" applyFill="1" applyBorder="1"/>
    <xf numFmtId="1" fontId="3" fillId="9" borderId="25" xfId="3" applyNumberFormat="1" applyFill="1" applyBorder="1"/>
    <xf numFmtId="1" fontId="3" fillId="9" borderId="31" xfId="3" applyNumberFormat="1" applyFill="1" applyBorder="1"/>
    <xf numFmtId="9" fontId="3" fillId="6" borderId="0" xfId="5" applyFont="1" applyFill="1" applyBorder="1" applyAlignment="1" applyProtection="1">
      <alignment horizontal="center" vertical="center"/>
    </xf>
    <xf numFmtId="14" fontId="3" fillId="11" borderId="17" xfId="5" applyNumberFormat="1" applyFont="1" applyFill="1" applyBorder="1" applyAlignment="1" applyProtection="1">
      <alignment horizontal="center" vertical="center"/>
    </xf>
    <xf numFmtId="165" fontId="3" fillId="11" borderId="17" xfId="5" applyNumberFormat="1" applyFont="1" applyFill="1" applyBorder="1" applyAlignment="1" applyProtection="1">
      <alignment horizontal="center" vertical="center"/>
    </xf>
    <xf numFmtId="0" fontId="0" fillId="12" borderId="89" xfId="0" applyFill="1" applyBorder="1"/>
    <xf numFmtId="0" fontId="0" fillId="0" borderId="17" xfId="0" applyBorder="1" applyAlignment="1" applyProtection="1">
      <alignment horizontal="center"/>
      <protection locked="0"/>
    </xf>
    <xf numFmtId="0" fontId="0" fillId="0" borderId="17" xfId="0" applyBorder="1" applyProtection="1">
      <protection locked="0"/>
    </xf>
    <xf numFmtId="0" fontId="0" fillId="5" borderId="18" xfId="0" applyFill="1" applyBorder="1"/>
    <xf numFmtId="0" fontId="0" fillId="5" borderId="19" xfId="0" applyFill="1" applyBorder="1"/>
    <xf numFmtId="0" fontId="0" fillId="5" borderId="34" xfId="0" applyFill="1" applyBorder="1"/>
    <xf numFmtId="0" fontId="0" fillId="5" borderId="35" xfId="0" applyFill="1" applyBorder="1"/>
    <xf numFmtId="0" fontId="0" fillId="5" borderId="36" xfId="0" applyFill="1" applyBorder="1"/>
    <xf numFmtId="165" fontId="2" fillId="2" borderId="0" xfId="3" applyNumberFormat="1" applyFont="1" applyFill="1" applyAlignment="1">
      <alignment horizontal="center"/>
    </xf>
    <xf numFmtId="0" fontId="2" fillId="2" borderId="0" xfId="3" applyFont="1" applyFill="1" applyAlignment="1">
      <alignment horizontal="center"/>
    </xf>
    <xf numFmtId="0" fontId="41" fillId="2" borderId="0" xfId="3" applyFont="1" applyFill="1" applyAlignment="1">
      <alignment horizontal="center"/>
    </xf>
    <xf numFmtId="165" fontId="41" fillId="2" borderId="0" xfId="3" applyNumberFormat="1" applyFont="1" applyFill="1" applyAlignment="1">
      <alignment horizontal="center"/>
    </xf>
    <xf numFmtId="0" fontId="2" fillId="2" borderId="0" xfId="3" applyFont="1" applyFill="1" applyAlignment="1">
      <alignment horizontal="center" vertical="center" wrapText="1"/>
    </xf>
    <xf numFmtId="0" fontId="0" fillId="6" borderId="0" xfId="0" applyFill="1" applyAlignment="1">
      <alignment horizontal="center" wrapText="1"/>
    </xf>
    <xf numFmtId="165" fontId="0" fillId="6" borderId="0" xfId="0" applyNumberFormat="1" applyFill="1" applyAlignment="1">
      <alignment horizontal="center" vertical="center"/>
    </xf>
    <xf numFmtId="165" fontId="3" fillId="6" borderId="0" xfId="3" applyNumberFormat="1" applyFill="1" applyAlignment="1">
      <alignment horizontal="center" vertical="center"/>
    </xf>
    <xf numFmtId="174" fontId="26" fillId="11" borderId="48" xfId="0" applyNumberFormat="1" applyFont="1" applyFill="1" applyBorder="1" applyAlignment="1">
      <alignment horizontal="right"/>
    </xf>
    <xf numFmtId="174" fontId="26" fillId="11" borderId="44" xfId="0" applyNumberFormat="1" applyFont="1" applyFill="1" applyBorder="1" applyAlignment="1" applyProtection="1">
      <alignment horizontal="right"/>
      <protection locked="0"/>
    </xf>
    <xf numFmtId="174" fontId="26" fillId="11" borderId="47" xfId="0" applyNumberFormat="1" applyFont="1" applyFill="1" applyBorder="1" applyAlignment="1">
      <alignment horizontal="center"/>
    </xf>
    <xf numFmtId="174" fontId="26" fillId="11" borderId="48" xfId="0" applyNumberFormat="1" applyFont="1" applyFill="1" applyBorder="1" applyAlignment="1">
      <alignment horizontal="center"/>
    </xf>
    <xf numFmtId="174" fontId="26" fillId="11" borderId="45" xfId="0" applyNumberFormat="1" applyFont="1" applyFill="1" applyBorder="1" applyAlignment="1" applyProtection="1">
      <alignment horizontal="right"/>
      <protection locked="0"/>
    </xf>
    <xf numFmtId="174" fontId="26" fillId="11" borderId="14" xfId="0" applyNumberFormat="1" applyFont="1" applyFill="1" applyBorder="1" applyAlignment="1">
      <alignment horizontal="center"/>
    </xf>
    <xf numFmtId="174" fontId="26" fillId="11" borderId="46" xfId="0" applyNumberFormat="1" applyFont="1" applyFill="1" applyBorder="1" applyAlignment="1" applyProtection="1">
      <alignment horizontal="right"/>
      <protection locked="0"/>
    </xf>
    <xf numFmtId="174" fontId="26" fillId="11" borderId="50" xfId="0" applyNumberFormat="1" applyFont="1" applyFill="1" applyBorder="1" applyAlignment="1">
      <alignment horizontal="center"/>
    </xf>
    <xf numFmtId="174" fontId="26" fillId="11" borderId="48" xfId="0" applyNumberFormat="1" applyFont="1" applyFill="1" applyBorder="1"/>
    <xf numFmtId="165" fontId="3" fillId="9" borderId="23" xfId="3" applyNumberFormat="1" applyFill="1" applyBorder="1"/>
    <xf numFmtId="165" fontId="3" fillId="9" borderId="24" xfId="3" applyNumberFormat="1" applyFill="1" applyBorder="1"/>
    <xf numFmtId="165" fontId="3" fillId="9" borderId="25" xfId="3" applyNumberFormat="1" applyFill="1" applyBorder="1"/>
    <xf numFmtId="165" fontId="3" fillId="9" borderId="27" xfId="3" applyNumberFormat="1" applyFill="1" applyBorder="1"/>
    <xf numFmtId="165" fontId="3" fillId="9" borderId="28" xfId="3" applyNumberFormat="1" applyFill="1" applyBorder="1"/>
    <xf numFmtId="165" fontId="3" fillId="9" borderId="29" xfId="3" applyNumberFormat="1" applyFill="1" applyBorder="1"/>
    <xf numFmtId="165" fontId="3" fillId="9" borderId="31" xfId="3" applyNumberFormat="1" applyFill="1" applyBorder="1"/>
    <xf numFmtId="165" fontId="3" fillId="9" borderId="32" xfId="3" applyNumberFormat="1" applyFill="1" applyBorder="1"/>
    <xf numFmtId="165" fontId="3" fillId="9" borderId="33" xfId="3" applyNumberFormat="1" applyFill="1" applyBorder="1"/>
    <xf numFmtId="165" fontId="3" fillId="0" borderId="22" xfId="3" applyNumberFormat="1" applyBorder="1"/>
    <xf numFmtId="165" fontId="3" fillId="0" borderId="26" xfId="3" applyNumberFormat="1" applyBorder="1"/>
    <xf numFmtId="165" fontId="3" fillId="0" borderId="30" xfId="3" applyNumberFormat="1" applyBorder="1"/>
    <xf numFmtId="165" fontId="41" fillId="2" borderId="0" xfId="5" applyNumberFormat="1" applyFont="1" applyFill="1" applyBorder="1" applyAlignment="1" applyProtection="1">
      <alignment horizontal="center"/>
    </xf>
    <xf numFmtId="173" fontId="0" fillId="0" borderId="0" xfId="0" applyNumberFormat="1" applyAlignment="1">
      <alignment horizontal="right"/>
    </xf>
    <xf numFmtId="0" fontId="0" fillId="12" borderId="7" xfId="0" applyFill="1" applyBorder="1" applyAlignment="1">
      <alignment horizontal="center"/>
    </xf>
    <xf numFmtId="0" fontId="0" fillId="12" borderId="0" xfId="0" quotePrefix="1" applyFill="1" applyAlignment="1">
      <alignment horizontal="center" vertical="center"/>
    </xf>
    <xf numFmtId="165" fontId="3" fillId="9" borderId="17" xfId="3" applyNumberFormat="1" applyFill="1" applyBorder="1" applyAlignment="1">
      <alignment horizontal="center" vertical="center"/>
    </xf>
    <xf numFmtId="165" fontId="0" fillId="9" borderId="17" xfId="0" applyNumberFormat="1" applyFill="1" applyBorder="1" applyAlignment="1">
      <alignment horizontal="center" vertical="center"/>
    </xf>
    <xf numFmtId="0" fontId="9" fillId="2" borderId="0" xfId="3" applyFont="1" applyFill="1" applyAlignment="1">
      <alignment horizontal="center"/>
    </xf>
    <xf numFmtId="0" fontId="41" fillId="2" borderId="0" xfId="3" applyFont="1" applyFill="1" applyAlignment="1">
      <alignment horizontal="right" indent="2"/>
    </xf>
    <xf numFmtId="0" fontId="0" fillId="11" borderId="14" xfId="0" applyFill="1" applyBorder="1" applyAlignment="1" applyProtection="1">
      <alignment horizontal="left" indent="1"/>
      <protection locked="0"/>
    </xf>
    <xf numFmtId="0" fontId="0" fillId="11" borderId="49" xfId="0" applyFill="1" applyBorder="1" applyAlignment="1" applyProtection="1">
      <alignment horizontal="left" indent="1"/>
      <protection locked="0"/>
    </xf>
    <xf numFmtId="10" fontId="3" fillId="11" borderId="17" xfId="3" applyNumberFormat="1" applyFill="1" applyBorder="1" applyAlignment="1">
      <alignment horizontal="center"/>
    </xf>
    <xf numFmtId="0" fontId="41" fillId="18" borderId="17" xfId="3" applyFont="1" applyFill="1" applyBorder="1"/>
    <xf numFmtId="0" fontId="41" fillId="2" borderId="0" xfId="3" applyFont="1" applyFill="1" applyAlignment="1">
      <alignment horizontal="right"/>
    </xf>
    <xf numFmtId="0" fontId="0" fillId="13" borderId="4" xfId="0" applyFill="1" applyBorder="1" applyAlignment="1">
      <alignment horizontal="center"/>
    </xf>
    <xf numFmtId="0" fontId="0" fillId="13" borderId="74" xfId="0" applyFill="1" applyBorder="1" applyAlignment="1">
      <alignment horizontal="center" vertical="center"/>
    </xf>
    <xf numFmtId="173" fontId="0" fillId="0" borderId="0" xfId="0" applyNumberFormat="1" applyAlignment="1">
      <alignment horizontal="right" vertical="center"/>
    </xf>
    <xf numFmtId="0" fontId="0" fillId="13" borderId="0" xfId="0" applyFill="1" applyAlignment="1">
      <alignment horizontal="center" vertical="center"/>
    </xf>
    <xf numFmtId="0" fontId="27" fillId="13" borderId="76" xfId="0" applyFont="1" applyFill="1" applyBorder="1" applyAlignment="1">
      <alignment horizontal="center"/>
    </xf>
    <xf numFmtId="0" fontId="42" fillId="12" borderId="0" xfId="0" applyFont="1" applyFill="1" applyAlignment="1">
      <alignment horizontal="left" vertical="top"/>
    </xf>
    <xf numFmtId="0" fontId="0" fillId="13" borderId="80" xfId="0" applyFill="1" applyBorder="1" applyAlignment="1">
      <alignment horizontal="center"/>
    </xf>
    <xf numFmtId="0" fontId="0" fillId="13" borderId="85" xfId="0" applyFill="1" applyBorder="1" applyAlignment="1">
      <alignment horizontal="center"/>
    </xf>
    <xf numFmtId="9" fontId="0" fillId="14" borderId="82" xfId="5" applyFont="1" applyFill="1" applyBorder="1" applyAlignment="1" applyProtection="1">
      <alignment horizontal="center" vertical="center"/>
    </xf>
    <xf numFmtId="9" fontId="0" fillId="14" borderId="67" xfId="5" applyFont="1" applyFill="1" applyBorder="1" applyAlignment="1" applyProtection="1">
      <alignment horizontal="center" vertical="center"/>
    </xf>
    <xf numFmtId="0" fontId="0" fillId="0" borderId="0" xfId="0" applyAlignment="1">
      <alignment horizontal="left" wrapText="1" indent="1"/>
    </xf>
    <xf numFmtId="0" fontId="3" fillId="11" borderId="17" xfId="3" applyFill="1" applyBorder="1" applyAlignment="1">
      <alignment horizontal="center" vertical="center"/>
    </xf>
    <xf numFmtId="165" fontId="3" fillId="11" borderId="17" xfId="3" applyNumberFormat="1" applyFill="1" applyBorder="1" applyAlignment="1">
      <alignment horizontal="center" vertical="center"/>
    </xf>
    <xf numFmtId="17" fontId="0" fillId="11" borderId="17" xfId="0" applyNumberFormat="1" applyFill="1" applyBorder="1" applyAlignment="1">
      <alignment horizontal="center" vertical="center"/>
    </xf>
    <xf numFmtId="0" fontId="0" fillId="5" borderId="68" xfId="0" applyFill="1" applyBorder="1" applyAlignment="1">
      <alignment horizontal="left" vertical="center" indent="1"/>
    </xf>
    <xf numFmtId="0" fontId="0" fillId="5" borderId="69" xfId="0" applyFill="1" applyBorder="1"/>
    <xf numFmtId="0" fontId="0" fillId="5" borderId="70" xfId="0" applyFill="1" applyBorder="1"/>
    <xf numFmtId="0" fontId="30" fillId="5" borderId="18" xfId="0" applyFont="1" applyFill="1" applyBorder="1" applyAlignment="1">
      <alignment horizontal="left" vertical="center" indent="1"/>
    </xf>
    <xf numFmtId="0" fontId="0" fillId="5" borderId="18" xfId="0" applyFill="1" applyBorder="1" applyAlignment="1">
      <alignment horizontal="left" vertical="center" indent="1"/>
    </xf>
    <xf numFmtId="0" fontId="0" fillId="5" borderId="34" xfId="0" applyFill="1" applyBorder="1" applyAlignment="1">
      <alignment horizontal="left" vertical="center" indent="1"/>
    </xf>
    <xf numFmtId="9" fontId="0" fillId="11" borderId="17" xfId="5" applyFont="1" applyFill="1" applyBorder="1" applyAlignment="1" applyProtection="1">
      <alignment horizontal="center" vertical="center"/>
      <protection locked="0"/>
    </xf>
    <xf numFmtId="0" fontId="6" fillId="6" borderId="0" xfId="3" applyFont="1" applyFill="1" applyAlignment="1">
      <alignment vertical="top"/>
    </xf>
    <xf numFmtId="0" fontId="21" fillId="0" borderId="0" xfId="4" applyFont="1" applyAlignment="1">
      <alignment wrapText="1"/>
    </xf>
    <xf numFmtId="0" fontId="20" fillId="0" borderId="0" xfId="4" applyFont="1" applyAlignment="1">
      <alignment wrapText="1"/>
    </xf>
    <xf numFmtId="0" fontId="20" fillId="0" borderId="0" xfId="4" applyFont="1" applyAlignment="1">
      <alignment horizontal="left" vertical="top" wrapText="1" indent="2"/>
    </xf>
    <xf numFmtId="0" fontId="20" fillId="0" borderId="0" xfId="4" applyFont="1" applyAlignment="1">
      <alignment horizontal="left" vertical="top" wrapText="1"/>
    </xf>
    <xf numFmtId="0" fontId="15" fillId="0" borderId="0" xfId="4" applyFont="1" applyAlignment="1">
      <alignment horizontal="center" vertical="center" wrapText="1"/>
    </xf>
    <xf numFmtId="0" fontId="20" fillId="0" borderId="0" xfId="4" applyFont="1" applyAlignment="1">
      <alignment vertical="top" wrapText="1"/>
    </xf>
    <xf numFmtId="165" fontId="25" fillId="11" borderId="45" xfId="5" applyNumberFormat="1" applyFont="1" applyFill="1" applyBorder="1" applyAlignment="1" applyProtection="1">
      <alignment horizontal="center"/>
      <protection locked="0"/>
    </xf>
    <xf numFmtId="165" fontId="25" fillId="11" borderId="49" xfId="5" applyNumberFormat="1" applyFont="1" applyFill="1" applyBorder="1" applyAlignment="1" applyProtection="1">
      <alignment horizontal="center"/>
      <protection locked="0"/>
    </xf>
    <xf numFmtId="0" fontId="27" fillId="13" borderId="9" xfId="0" applyFont="1" applyFill="1" applyBorder="1" applyAlignment="1">
      <alignment horizontal="left" vertical="center" indent="1"/>
    </xf>
    <xf numFmtId="0" fontId="27" fillId="13" borderId="60" xfId="0" applyFont="1" applyFill="1" applyBorder="1" applyAlignment="1">
      <alignment horizontal="left" vertical="center" indent="1"/>
    </xf>
    <xf numFmtId="0" fontId="27" fillId="13" borderId="95" xfId="0" applyFont="1" applyFill="1" applyBorder="1" applyAlignment="1">
      <alignment horizontal="left" vertical="center" indent="1"/>
    </xf>
    <xf numFmtId="0" fontId="27" fillId="13" borderId="11" xfId="0" applyFont="1" applyFill="1" applyBorder="1" applyAlignment="1">
      <alignment horizontal="left" vertical="center" indent="1"/>
    </xf>
    <xf numFmtId="0" fontId="27" fillId="13" borderId="16" xfId="0" applyFont="1" applyFill="1" applyBorder="1" applyAlignment="1">
      <alignment horizontal="left" vertical="center" indent="1"/>
    </xf>
    <xf numFmtId="0" fontId="27" fillId="13" borderId="74" xfId="0" applyFont="1" applyFill="1" applyBorder="1" applyAlignment="1">
      <alignment horizontal="left" vertical="center" indent="1"/>
    </xf>
    <xf numFmtId="0" fontId="0" fillId="13" borderId="44" xfId="0" applyFill="1" applyBorder="1" applyAlignment="1">
      <alignment horizontal="left" indent="1"/>
    </xf>
    <xf numFmtId="0" fontId="0" fillId="13" borderId="48" xfId="0" applyFill="1" applyBorder="1" applyAlignment="1">
      <alignment horizontal="left" indent="1"/>
    </xf>
    <xf numFmtId="0" fontId="0" fillId="13" borderId="46" xfId="0" applyFill="1" applyBorder="1" applyAlignment="1">
      <alignment horizontal="left" indent="1"/>
    </xf>
    <xf numFmtId="0" fontId="0" fillId="13" borderId="51" xfId="0" applyFill="1" applyBorder="1" applyAlignment="1">
      <alignment horizontal="left" indent="1"/>
    </xf>
    <xf numFmtId="0" fontId="0" fillId="13" borderId="4" xfId="0" applyFill="1" applyBorder="1" applyAlignment="1">
      <alignment horizontal="center"/>
    </xf>
    <xf numFmtId="0" fontId="0" fillId="13" borderId="40" xfId="0" applyFill="1" applyBorder="1" applyAlignment="1">
      <alignment horizontal="center"/>
    </xf>
    <xf numFmtId="0" fontId="0" fillId="13" borderId="1" xfId="0" applyFill="1" applyBorder="1" applyAlignment="1">
      <alignment horizontal="left" vertical="center" indent="1"/>
    </xf>
    <xf numFmtId="0" fontId="0" fillId="13" borderId="2" xfId="0" applyFill="1" applyBorder="1" applyAlignment="1">
      <alignment horizontal="left" vertical="center" indent="1"/>
    </xf>
    <xf numFmtId="0" fontId="0" fillId="13" borderId="3" xfId="0" applyFill="1" applyBorder="1" applyAlignment="1">
      <alignment horizontal="left" vertical="center" indent="1"/>
    </xf>
    <xf numFmtId="0" fontId="0" fillId="13" borderId="73" xfId="0" applyFill="1" applyBorder="1" applyAlignment="1">
      <alignment horizontal="left" vertical="center" indent="1"/>
    </xf>
    <xf numFmtId="0" fontId="0" fillId="13" borderId="16" xfId="0" applyFill="1" applyBorder="1" applyAlignment="1">
      <alignment horizontal="left" vertical="center" indent="1"/>
    </xf>
    <xf numFmtId="0" fontId="0" fillId="13" borderId="74" xfId="0" applyFill="1" applyBorder="1" applyAlignment="1">
      <alignment horizontal="left" vertical="center" indent="1"/>
    </xf>
    <xf numFmtId="0" fontId="0" fillId="13" borderId="65" xfId="0" applyFill="1" applyBorder="1" applyAlignment="1">
      <alignment horizontal="left" wrapText="1" indent="1"/>
    </xf>
    <xf numFmtId="0" fontId="0" fillId="13" borderId="14" xfId="0" applyFill="1" applyBorder="1" applyAlignment="1">
      <alignment horizontal="left" wrapText="1" indent="1"/>
    </xf>
    <xf numFmtId="0" fontId="0" fillId="13" borderId="49" xfId="0" applyFill="1" applyBorder="1" applyAlignment="1">
      <alignment horizontal="left" wrapText="1" indent="1"/>
    </xf>
    <xf numFmtId="0" fontId="0" fillId="13" borderId="4" xfId="0" applyFill="1" applyBorder="1" applyAlignment="1">
      <alignment horizontal="center" vertical="center"/>
    </xf>
    <xf numFmtId="0" fontId="0" fillId="13" borderId="40" xfId="0" applyFill="1" applyBorder="1" applyAlignment="1">
      <alignment horizontal="center" vertical="center"/>
    </xf>
    <xf numFmtId="0" fontId="0" fillId="13" borderId="84" xfId="0" applyFill="1" applyBorder="1" applyAlignment="1">
      <alignment horizontal="left" vertical="center" indent="1"/>
    </xf>
    <xf numFmtId="0" fontId="0" fillId="13" borderId="50" xfId="0" applyFill="1" applyBorder="1" applyAlignment="1">
      <alignment horizontal="left" vertical="center" indent="1"/>
    </xf>
    <xf numFmtId="0" fontId="0" fillId="13" borderId="51" xfId="0" applyFill="1" applyBorder="1" applyAlignment="1">
      <alignment horizontal="left" vertical="center" indent="1"/>
    </xf>
    <xf numFmtId="0" fontId="0" fillId="13" borderId="17" xfId="0" applyFill="1" applyBorder="1" applyAlignment="1">
      <alignment horizontal="left" vertical="center" indent="1"/>
    </xf>
    <xf numFmtId="0" fontId="0" fillId="13" borderId="73" xfId="0" applyFill="1" applyBorder="1" applyAlignment="1">
      <alignment horizontal="center" vertical="center" wrapText="1"/>
    </xf>
    <xf numFmtId="0" fontId="0" fillId="13" borderId="12" xfId="0" applyFill="1" applyBorder="1" applyAlignment="1">
      <alignment horizontal="center" vertical="center"/>
    </xf>
    <xf numFmtId="14" fontId="32" fillId="14" borderId="60" xfId="0" applyNumberFormat="1" applyFont="1" applyFill="1" applyBorder="1" applyAlignment="1">
      <alignment horizontal="left" vertical="center"/>
    </xf>
    <xf numFmtId="0" fontId="32" fillId="14" borderId="10" xfId="0" applyFont="1" applyFill="1" applyBorder="1" applyAlignment="1">
      <alignment horizontal="left" vertical="center"/>
    </xf>
    <xf numFmtId="0" fontId="6" fillId="14" borderId="39" xfId="0" applyFont="1" applyFill="1" applyBorder="1" applyAlignment="1">
      <alignment horizontal="center" vertical="center"/>
    </xf>
    <xf numFmtId="0" fontId="6" fillId="14" borderId="0" xfId="0" applyFont="1" applyFill="1" applyAlignment="1">
      <alignment horizontal="center" vertical="center"/>
    </xf>
    <xf numFmtId="0" fontId="6" fillId="14" borderId="40" xfId="0" applyFont="1" applyFill="1" applyBorder="1" applyAlignment="1">
      <alignment horizontal="center" vertical="center"/>
    </xf>
    <xf numFmtId="0" fontId="30" fillId="14" borderId="39" xfId="0" applyFont="1" applyFill="1" applyBorder="1" applyAlignment="1">
      <alignment horizontal="center" vertical="center"/>
    </xf>
    <xf numFmtId="0" fontId="30" fillId="14" borderId="0" xfId="0" applyFont="1" applyFill="1" applyAlignment="1">
      <alignment horizontal="center" vertical="center"/>
    </xf>
    <xf numFmtId="0" fontId="30" fillId="14" borderId="40" xfId="0" applyFont="1" applyFill="1" applyBorder="1" applyAlignment="1">
      <alignment horizontal="center" vertical="center"/>
    </xf>
    <xf numFmtId="0" fontId="0" fillId="14" borderId="11" xfId="0" applyFill="1" applyBorder="1" applyAlignment="1">
      <alignment horizontal="center" vertical="center"/>
    </xf>
    <xf numFmtId="0" fontId="0" fillId="14" borderId="16" xfId="0" applyFill="1" applyBorder="1" applyAlignment="1">
      <alignment horizontal="center" vertical="center"/>
    </xf>
    <xf numFmtId="0" fontId="0" fillId="14" borderId="12" xfId="0" applyFill="1" applyBorder="1" applyAlignment="1">
      <alignment horizontal="center" vertical="center"/>
    </xf>
    <xf numFmtId="0" fontId="0" fillId="11" borderId="45" xfId="0" applyFill="1" applyBorder="1" applyAlignment="1" applyProtection="1">
      <alignment horizontal="left" vertical="top"/>
      <protection locked="0"/>
    </xf>
    <xf numFmtId="0" fontId="0" fillId="11" borderId="14" xfId="0" applyFill="1" applyBorder="1" applyAlignment="1" applyProtection="1">
      <alignment horizontal="left" vertical="top"/>
      <protection locked="0"/>
    </xf>
    <xf numFmtId="0" fontId="0" fillId="11" borderId="49" xfId="0" applyFill="1" applyBorder="1" applyAlignment="1" applyProtection="1">
      <alignment horizontal="left" vertical="top"/>
      <protection locked="0"/>
    </xf>
    <xf numFmtId="0" fontId="0" fillId="11" borderId="1" xfId="0" applyFill="1" applyBorder="1" applyAlignment="1" applyProtection="1">
      <alignment horizontal="left" vertical="top" wrapText="1"/>
      <protection locked="0"/>
    </xf>
    <xf numFmtId="0" fontId="0" fillId="11" borderId="2" xfId="0" applyFill="1" applyBorder="1" applyAlignment="1" applyProtection="1">
      <alignment horizontal="left" vertical="top" wrapText="1"/>
      <protection locked="0"/>
    </xf>
    <xf numFmtId="0" fontId="0" fillId="11" borderId="3" xfId="0" applyFill="1" applyBorder="1" applyAlignment="1" applyProtection="1">
      <alignment horizontal="left" vertical="top" wrapText="1"/>
      <protection locked="0"/>
    </xf>
    <xf numFmtId="0" fontId="0" fillId="11" borderId="13" xfId="0" applyFill="1" applyBorder="1" applyAlignment="1" applyProtection="1">
      <alignment horizontal="left" vertical="top" wrapText="1"/>
      <protection locked="0"/>
    </xf>
    <xf numFmtId="0" fontId="0" fillId="11" borderId="52" xfId="0" applyFill="1" applyBorder="1" applyAlignment="1" applyProtection="1">
      <alignment horizontal="left" vertical="top" wrapText="1"/>
      <protection locked="0"/>
    </xf>
    <xf numFmtId="0" fontId="0" fillId="11" borderId="15" xfId="0" applyFill="1" applyBorder="1" applyAlignment="1" applyProtection="1">
      <alignment horizontal="left" vertical="top" wrapText="1"/>
      <protection locked="0"/>
    </xf>
    <xf numFmtId="164" fontId="0" fillId="11" borderId="45" xfId="0" applyNumberFormat="1" applyFill="1" applyBorder="1" applyAlignment="1" applyProtection="1">
      <alignment horizontal="center"/>
      <protection locked="0"/>
    </xf>
    <xf numFmtId="164" fontId="0" fillId="11" borderId="14" xfId="0" applyNumberFormat="1" applyFill="1" applyBorder="1" applyAlignment="1" applyProtection="1">
      <alignment horizontal="center"/>
      <protection locked="0"/>
    </xf>
    <xf numFmtId="164" fontId="0" fillId="11" borderId="49" xfId="0" applyNumberFormat="1" applyFill="1" applyBorder="1" applyAlignment="1" applyProtection="1">
      <alignment horizontal="center"/>
      <protection locked="0"/>
    </xf>
    <xf numFmtId="2" fontId="0" fillId="11" borderId="45" xfId="0" applyNumberFormat="1" applyFill="1" applyBorder="1" applyAlignment="1" applyProtection="1">
      <alignment horizontal="center"/>
      <protection locked="0"/>
    </xf>
    <xf numFmtId="2" fontId="0" fillId="11" borderId="14" xfId="0" applyNumberFormat="1" applyFill="1" applyBorder="1" applyAlignment="1" applyProtection="1">
      <alignment horizontal="center"/>
      <protection locked="0"/>
    </xf>
    <xf numFmtId="2" fontId="0" fillId="11" borderId="49" xfId="0" applyNumberFormat="1" applyFill="1" applyBorder="1" applyAlignment="1" applyProtection="1">
      <alignment horizontal="center"/>
      <protection locked="0"/>
    </xf>
    <xf numFmtId="164" fontId="0" fillId="13" borderId="45" xfId="0" applyNumberFormat="1" applyFill="1" applyBorder="1" applyAlignment="1">
      <alignment horizontal="center"/>
    </xf>
    <xf numFmtId="164" fontId="0" fillId="13" borderId="14" xfId="0" applyNumberFormat="1" applyFill="1" applyBorder="1" applyAlignment="1">
      <alignment horizontal="center"/>
    </xf>
    <xf numFmtId="164" fontId="0" fillId="13" borderId="49" xfId="0" applyNumberFormat="1" applyFill="1" applyBorder="1" applyAlignment="1">
      <alignment horizontal="center"/>
    </xf>
    <xf numFmtId="0" fontId="27" fillId="13" borderId="76" xfId="0" applyFont="1" applyFill="1" applyBorder="1" applyAlignment="1">
      <alignment horizontal="center"/>
    </xf>
    <xf numFmtId="9" fontId="25" fillId="11" borderId="45" xfId="5" applyFont="1" applyFill="1" applyBorder="1" applyAlignment="1" applyProtection="1">
      <alignment horizontal="center"/>
      <protection locked="0"/>
    </xf>
    <xf numFmtId="9" fontId="25" fillId="11" borderId="49" xfId="5" applyFont="1" applyFill="1" applyBorder="1" applyAlignment="1" applyProtection="1">
      <alignment horizontal="center"/>
      <protection locked="0"/>
    </xf>
    <xf numFmtId="0" fontId="27" fillId="13" borderId="55" xfId="0" applyFont="1" applyFill="1" applyBorder="1" applyAlignment="1">
      <alignment horizontal="center" vertical="center"/>
    </xf>
    <xf numFmtId="0" fontId="27" fillId="13" borderId="7" xfId="0" applyFont="1" applyFill="1" applyBorder="1" applyAlignment="1">
      <alignment horizontal="center" vertical="center"/>
    </xf>
    <xf numFmtId="0" fontId="27" fillId="13" borderId="56" xfId="0" applyFont="1" applyFill="1" applyBorder="1" applyAlignment="1">
      <alignment horizontal="center" vertical="center"/>
    </xf>
    <xf numFmtId="0" fontId="0" fillId="13" borderId="9" xfId="0" applyFill="1" applyBorder="1" applyAlignment="1">
      <alignment horizontal="left" vertical="center" wrapText="1" indent="1"/>
    </xf>
    <xf numFmtId="0" fontId="0" fillId="13" borderId="60" xfId="0" applyFill="1" applyBorder="1" applyAlignment="1">
      <alignment horizontal="left" vertical="center" wrapText="1" indent="1"/>
    </xf>
    <xf numFmtId="0" fontId="0" fillId="13" borderId="95" xfId="0" applyFill="1" applyBorder="1" applyAlignment="1">
      <alignment horizontal="left" vertical="center" wrapText="1" indent="1"/>
    </xf>
    <xf numFmtId="0" fontId="0" fillId="13" borderId="39" xfId="0" applyFill="1" applyBorder="1" applyAlignment="1">
      <alignment horizontal="left" vertical="center" wrapText="1" indent="1"/>
    </xf>
    <xf numFmtId="0" fontId="0" fillId="13" borderId="0" xfId="0" applyFill="1" applyAlignment="1">
      <alignment horizontal="left" vertical="center" wrapText="1" indent="1"/>
    </xf>
    <xf numFmtId="0" fontId="0" fillId="13" borderId="5" xfId="0" applyFill="1" applyBorder="1" applyAlignment="1">
      <alignment horizontal="left" vertical="center" wrapText="1" indent="1"/>
    </xf>
    <xf numFmtId="0" fontId="0" fillId="13" borderId="53" xfId="0" applyFill="1" applyBorder="1" applyAlignment="1">
      <alignment horizontal="left" vertical="center" wrapText="1" indent="1"/>
    </xf>
    <xf numFmtId="0" fontId="0" fillId="13" borderId="52" xfId="0" applyFill="1" applyBorder="1" applyAlignment="1">
      <alignment horizontal="left" vertical="center" wrapText="1" indent="1"/>
    </xf>
    <xf numFmtId="0" fontId="0" fillId="13" borderId="15" xfId="0" applyFill="1" applyBorder="1" applyAlignment="1">
      <alignment horizontal="left" vertical="center" wrapText="1" indent="1"/>
    </xf>
    <xf numFmtId="0" fontId="27" fillId="13" borderId="81" xfId="0" applyFont="1" applyFill="1" applyBorder="1" applyAlignment="1">
      <alignment horizontal="center"/>
    </xf>
    <xf numFmtId="0" fontId="27" fillId="13" borderId="75" xfId="0" applyFont="1" applyFill="1" applyBorder="1" applyAlignment="1">
      <alignment horizontal="center"/>
    </xf>
    <xf numFmtId="0" fontId="0" fillId="13" borderId="88" xfId="0" applyFill="1" applyBorder="1" applyAlignment="1">
      <alignment horizontal="left" vertical="center" indent="1"/>
    </xf>
    <xf numFmtId="42" fontId="25" fillId="11" borderId="17" xfId="2" applyNumberFormat="1" applyFont="1" applyFill="1" applyBorder="1" applyProtection="1">
      <protection locked="0"/>
    </xf>
    <xf numFmtId="42" fontId="25" fillId="11" borderId="43" xfId="2" applyNumberFormat="1" applyFont="1" applyFill="1" applyBorder="1" applyProtection="1">
      <protection locked="0"/>
    </xf>
    <xf numFmtId="0" fontId="0" fillId="11" borderId="49" xfId="0" applyFill="1" applyBorder="1" applyAlignment="1" applyProtection="1">
      <alignment horizontal="left" indent="1"/>
      <protection locked="0"/>
    </xf>
    <xf numFmtId="0" fontId="0" fillId="11" borderId="17" xfId="0" applyFill="1" applyBorder="1" applyAlignment="1" applyProtection="1">
      <alignment horizontal="left" indent="1"/>
      <protection locked="0"/>
    </xf>
    <xf numFmtId="42" fontId="25" fillId="11" borderId="82" xfId="2" applyNumberFormat="1" applyFont="1" applyFill="1" applyBorder="1" applyProtection="1">
      <protection locked="0"/>
    </xf>
    <xf numFmtId="42" fontId="25" fillId="11" borderId="67" xfId="2" applyNumberFormat="1" applyFont="1" applyFill="1" applyBorder="1" applyProtection="1">
      <protection locked="0"/>
    </xf>
    <xf numFmtId="0" fontId="0" fillId="11" borderId="63" xfId="0" applyFill="1" applyBorder="1" applyAlignment="1" applyProtection="1">
      <alignment horizontal="left" indent="1"/>
      <protection locked="0"/>
    </xf>
    <xf numFmtId="0" fontId="0" fillId="11" borderId="47" xfId="0" applyFill="1" applyBorder="1" applyAlignment="1" applyProtection="1">
      <alignment horizontal="left" indent="1"/>
      <protection locked="0"/>
    </xf>
    <xf numFmtId="0" fontId="0" fillId="11" borderId="48" xfId="0" applyFill="1" applyBorder="1" applyAlignment="1" applyProtection="1">
      <alignment horizontal="left" indent="1"/>
      <protection locked="0"/>
    </xf>
    <xf numFmtId="0" fontId="0" fillId="11" borderId="84" xfId="0" applyFill="1" applyBorder="1" applyAlignment="1" applyProtection="1">
      <alignment horizontal="left" indent="1"/>
      <protection locked="0"/>
    </xf>
    <xf numFmtId="0" fontId="0" fillId="11" borderId="50" xfId="0" applyFill="1" applyBorder="1" applyAlignment="1" applyProtection="1">
      <alignment horizontal="left" indent="1"/>
      <protection locked="0"/>
    </xf>
    <xf numFmtId="0" fontId="0" fillId="11" borderId="51" xfId="0" applyFill="1" applyBorder="1" applyAlignment="1" applyProtection="1">
      <alignment horizontal="left" indent="1"/>
      <protection locked="0"/>
    </xf>
    <xf numFmtId="0" fontId="0" fillId="11" borderId="65" xfId="0" applyFill="1" applyBorder="1" applyAlignment="1" applyProtection="1">
      <alignment horizontal="left" indent="1"/>
      <protection locked="0"/>
    </xf>
    <xf numFmtId="0" fontId="0" fillId="11" borderId="14" xfId="0" applyFill="1" applyBorder="1" applyAlignment="1" applyProtection="1">
      <alignment horizontal="left" indent="1"/>
      <protection locked="0"/>
    </xf>
    <xf numFmtId="0" fontId="0" fillId="0" borderId="14" xfId="0" applyBorder="1" applyAlignment="1" applyProtection="1">
      <alignment horizontal="left" indent="1"/>
      <protection locked="0"/>
    </xf>
    <xf numFmtId="0" fontId="0" fillId="0" borderId="49" xfId="0" applyBorder="1" applyAlignment="1" applyProtection="1">
      <alignment horizontal="left" indent="1"/>
      <protection locked="0"/>
    </xf>
    <xf numFmtId="0" fontId="0" fillId="11" borderId="46" xfId="0" applyFill="1" applyBorder="1" applyAlignment="1" applyProtection="1">
      <alignment horizontal="left" indent="1"/>
      <protection locked="0"/>
    </xf>
    <xf numFmtId="0" fontId="0" fillId="11" borderId="77" xfId="0" applyFill="1" applyBorder="1" applyAlignment="1" applyProtection="1">
      <alignment horizontal="left" indent="1"/>
      <protection locked="0"/>
    </xf>
    <xf numFmtId="167" fontId="0" fillId="11" borderId="17" xfId="0" applyNumberFormat="1" applyFill="1" applyBorder="1" applyAlignment="1" applyProtection="1">
      <alignment horizontal="center"/>
      <protection locked="0"/>
    </xf>
    <xf numFmtId="0" fontId="0" fillId="11" borderId="17" xfId="0" applyFill="1" applyBorder="1" applyAlignment="1" applyProtection="1">
      <alignment horizontal="center"/>
      <protection locked="0"/>
    </xf>
    <xf numFmtId="0" fontId="0" fillId="11" borderId="43" xfId="0" applyFill="1" applyBorder="1" applyAlignment="1" applyProtection="1">
      <alignment horizontal="center"/>
      <protection locked="0"/>
    </xf>
    <xf numFmtId="0" fontId="0" fillId="11" borderId="80" xfId="0" applyFill="1" applyBorder="1" applyAlignment="1" applyProtection="1">
      <alignment horizontal="center"/>
      <protection locked="0"/>
    </xf>
    <xf numFmtId="0" fontId="0" fillId="11" borderId="85" xfId="0" applyFill="1" applyBorder="1" applyAlignment="1" applyProtection="1">
      <alignment horizontal="center"/>
      <protection locked="0"/>
    </xf>
    <xf numFmtId="42" fontId="25" fillId="13" borderId="46" xfId="2" applyNumberFormat="1" applyFont="1" applyFill="1" applyBorder="1" applyAlignment="1" applyProtection="1">
      <alignment horizontal="right" vertical="center"/>
    </xf>
    <xf numFmtId="42" fontId="25" fillId="13" borderId="50" xfId="2" applyNumberFormat="1" applyFont="1" applyFill="1" applyBorder="1" applyAlignment="1" applyProtection="1">
      <alignment horizontal="right" vertical="center"/>
    </xf>
    <xf numFmtId="42" fontId="25" fillId="13" borderId="51" xfId="2" applyNumberFormat="1" applyFont="1" applyFill="1" applyBorder="1" applyAlignment="1" applyProtection="1">
      <alignment horizontal="right" vertical="center"/>
    </xf>
    <xf numFmtId="0" fontId="27" fillId="14" borderId="83" xfId="0" applyFont="1" applyFill="1" applyBorder="1" applyAlignment="1">
      <alignment horizontal="center" vertical="center"/>
    </xf>
    <xf numFmtId="0" fontId="27" fillId="14" borderId="7" xfId="0" applyFont="1" applyFill="1" applyBorder="1" applyAlignment="1">
      <alignment horizontal="center" vertical="center"/>
    </xf>
    <xf numFmtId="0" fontId="27" fillId="14" borderId="56" xfId="0" applyFont="1" applyFill="1" applyBorder="1" applyAlignment="1">
      <alignment horizontal="center" vertical="center"/>
    </xf>
    <xf numFmtId="42" fontId="25" fillId="11" borderId="80" xfId="2" applyNumberFormat="1" applyFont="1" applyFill="1" applyBorder="1" applyProtection="1">
      <protection locked="0"/>
    </xf>
    <xf numFmtId="42" fontId="25" fillId="11" borderId="85" xfId="2" applyNumberFormat="1" applyFont="1" applyFill="1" applyBorder="1" applyProtection="1">
      <protection locked="0"/>
    </xf>
    <xf numFmtId="0" fontId="0" fillId="11" borderId="87" xfId="0" applyFill="1" applyBorder="1" applyAlignment="1" applyProtection="1">
      <alignment horizontal="left" indent="1"/>
      <protection locked="0"/>
    </xf>
    <xf numFmtId="0" fontId="0" fillId="11" borderId="88" xfId="0" applyFill="1" applyBorder="1" applyAlignment="1" applyProtection="1">
      <alignment horizontal="left" indent="1"/>
      <protection locked="0"/>
    </xf>
    <xf numFmtId="42" fontId="25" fillId="11" borderId="88" xfId="2" applyNumberFormat="1" applyFont="1" applyFill="1" applyBorder="1" applyProtection="1">
      <protection locked="0"/>
    </xf>
    <xf numFmtId="42" fontId="25" fillId="11" borderId="62" xfId="2" applyNumberFormat="1" applyFont="1" applyFill="1" applyBorder="1" applyProtection="1">
      <protection locked="0"/>
    </xf>
    <xf numFmtId="0" fontId="0" fillId="13" borderId="63" xfId="0" applyFill="1" applyBorder="1" applyAlignment="1">
      <alignment horizontal="left" indent="1"/>
    </xf>
    <xf numFmtId="0" fontId="0" fillId="13" borderId="47" xfId="0" applyFill="1" applyBorder="1" applyAlignment="1">
      <alignment horizontal="left" indent="1"/>
    </xf>
    <xf numFmtId="0" fontId="0" fillId="13" borderId="65" xfId="0" applyFill="1" applyBorder="1" applyAlignment="1">
      <alignment horizontal="left" indent="1"/>
    </xf>
    <xf numFmtId="0" fontId="0" fillId="13" borderId="14" xfId="0" applyFill="1" applyBorder="1" applyAlignment="1">
      <alignment horizontal="left" indent="1"/>
    </xf>
    <xf numFmtId="0" fontId="0" fillId="13" borderId="49" xfId="0" applyFill="1" applyBorder="1" applyAlignment="1">
      <alignment horizontal="left" indent="1"/>
    </xf>
    <xf numFmtId="0" fontId="0" fillId="11" borderId="44" xfId="0" applyFill="1" applyBorder="1" applyAlignment="1" applyProtection="1">
      <alignment horizontal="left" indent="1"/>
      <protection locked="0"/>
    </xf>
    <xf numFmtId="0" fontId="0" fillId="0" borderId="47" xfId="0" applyBorder="1" applyAlignment="1" applyProtection="1">
      <alignment horizontal="left" indent="1"/>
      <protection locked="0"/>
    </xf>
    <xf numFmtId="0" fontId="0" fillId="0" borderId="48" xfId="0" applyBorder="1" applyAlignment="1" applyProtection="1">
      <alignment horizontal="left" indent="1"/>
      <protection locked="0"/>
    </xf>
    <xf numFmtId="0" fontId="0" fillId="11" borderId="45" xfId="0" applyFill="1" applyBorder="1" applyAlignment="1" applyProtection="1">
      <alignment horizontal="left" indent="1"/>
      <protection locked="0"/>
    </xf>
    <xf numFmtId="0" fontId="0" fillId="11" borderId="46" xfId="0" applyFill="1" applyBorder="1" applyAlignment="1" applyProtection="1">
      <alignment horizontal="center"/>
      <protection locked="0"/>
    </xf>
    <xf numFmtId="0" fontId="0" fillId="11" borderId="50" xfId="0" applyFill="1" applyBorder="1" applyAlignment="1" applyProtection="1">
      <alignment horizontal="center"/>
      <protection locked="0"/>
    </xf>
    <xf numFmtId="0" fontId="0" fillId="11" borderId="92" xfId="0" applyFill="1" applyBorder="1" applyAlignment="1" applyProtection="1">
      <alignment horizontal="center"/>
      <protection locked="0"/>
    </xf>
    <xf numFmtId="0" fontId="0" fillId="11" borderId="86" xfId="0" applyFill="1" applyBorder="1" applyAlignment="1" applyProtection="1">
      <alignment horizontal="left" indent="1"/>
      <protection locked="0"/>
    </xf>
    <xf numFmtId="0" fontId="0" fillId="11" borderId="82" xfId="0" applyFill="1" applyBorder="1" applyAlignment="1" applyProtection="1">
      <alignment horizontal="left" indent="1"/>
      <protection locked="0"/>
    </xf>
    <xf numFmtId="14" fontId="0" fillId="12" borderId="60" xfId="0" applyNumberFormat="1" applyFill="1" applyBorder="1" applyAlignment="1">
      <alignment horizontal="left"/>
    </xf>
    <xf numFmtId="14" fontId="0" fillId="12" borderId="10" xfId="0" applyNumberFormat="1" applyFill="1" applyBorder="1" applyAlignment="1">
      <alignment horizontal="left"/>
    </xf>
    <xf numFmtId="0" fontId="27" fillId="14" borderId="78" xfId="0" applyFont="1" applyFill="1" applyBorder="1" applyAlignment="1">
      <alignment horizontal="center" vertical="center" wrapText="1"/>
    </xf>
    <xf numFmtId="0" fontId="27" fillId="14" borderId="75" xfId="0" applyFont="1" applyFill="1" applyBorder="1" applyAlignment="1">
      <alignment horizontal="center" vertical="center" wrapText="1"/>
    </xf>
    <xf numFmtId="2" fontId="25" fillId="13" borderId="79" xfId="1" applyNumberFormat="1" applyFont="1" applyFill="1" applyBorder="1" applyAlignment="1" applyProtection="1"/>
    <xf numFmtId="2" fontId="25" fillId="13" borderId="80" xfId="1" applyNumberFormat="1" applyFont="1" applyFill="1" applyBorder="1" applyAlignment="1" applyProtection="1"/>
    <xf numFmtId="2" fontId="25" fillId="13" borderId="77" xfId="1" applyNumberFormat="1" applyFont="1" applyFill="1" applyBorder="1" applyAlignment="1" applyProtection="1"/>
    <xf numFmtId="2" fontId="25" fillId="13" borderId="17" xfId="1" applyNumberFormat="1" applyFont="1" applyFill="1" applyBorder="1" applyAlignment="1" applyProtection="1"/>
    <xf numFmtId="42" fontId="0" fillId="13" borderId="17" xfId="0" applyNumberFormat="1" applyFill="1" applyBorder="1"/>
    <xf numFmtId="42" fontId="0" fillId="13" borderId="43" xfId="0" applyNumberFormat="1" applyFill="1" applyBorder="1"/>
    <xf numFmtId="0" fontId="27" fillId="14" borderId="76" xfId="0" applyFont="1" applyFill="1" applyBorder="1" applyAlignment="1">
      <alignment horizontal="center" vertical="center" wrapText="1"/>
    </xf>
    <xf numFmtId="0" fontId="27" fillId="14" borderId="76" xfId="0" applyFont="1" applyFill="1" applyBorder="1" applyAlignment="1">
      <alignment horizontal="center" vertical="center"/>
    </xf>
    <xf numFmtId="0" fontId="27" fillId="14" borderId="81" xfId="0" applyFont="1" applyFill="1" applyBorder="1" applyAlignment="1">
      <alignment horizontal="center" vertical="center"/>
    </xf>
    <xf numFmtId="42" fontId="0" fillId="13" borderId="48" xfId="0" applyNumberFormat="1" applyFill="1" applyBorder="1"/>
    <xf numFmtId="42" fontId="0" fillId="13" borderId="80" xfId="0" applyNumberFormat="1" applyFill="1" applyBorder="1"/>
    <xf numFmtId="42" fontId="0" fillId="13" borderId="49" xfId="0" applyNumberFormat="1" applyFill="1" applyBorder="1"/>
    <xf numFmtId="165" fontId="25" fillId="13" borderId="17" xfId="5" applyNumberFormat="1" applyFont="1" applyFill="1" applyBorder="1" applyAlignment="1" applyProtection="1"/>
    <xf numFmtId="42" fontId="0" fillId="13" borderId="85" xfId="0" applyNumberFormat="1" applyFill="1" applyBorder="1"/>
    <xf numFmtId="171" fontId="25" fillId="15" borderId="83" xfId="2" applyNumberFormat="1" applyFont="1" applyFill="1" applyBorder="1" applyAlignment="1" applyProtection="1">
      <alignment horizontal="right"/>
    </xf>
    <xf numFmtId="171" fontId="25" fillId="15" borderId="7" xfId="2" applyNumberFormat="1" applyFont="1" applyFill="1" applyBorder="1" applyAlignment="1" applyProtection="1">
      <alignment horizontal="right"/>
    </xf>
    <xf numFmtId="171" fontId="25" fillId="15" borderId="89" xfId="2" applyNumberFormat="1" applyFont="1" applyFill="1" applyBorder="1" applyAlignment="1" applyProtection="1">
      <alignment horizontal="right"/>
    </xf>
    <xf numFmtId="42" fontId="0" fillId="15" borderId="76" xfId="0" applyNumberFormat="1" applyFill="1" applyBorder="1" applyAlignment="1">
      <alignment horizontal="right"/>
    </xf>
    <xf numFmtId="0" fontId="0" fillId="12" borderId="7" xfId="0" applyFill="1" applyBorder="1" applyAlignment="1">
      <alignment horizontal="right"/>
    </xf>
    <xf numFmtId="42" fontId="0" fillId="13" borderId="45" xfId="0" applyNumberFormat="1" applyFill="1" applyBorder="1" applyAlignment="1">
      <alignment horizontal="right" indent="1"/>
    </xf>
    <xf numFmtId="42" fontId="0" fillId="13" borderId="14" xfId="0" applyNumberFormat="1" applyFill="1" applyBorder="1" applyAlignment="1">
      <alignment horizontal="right" indent="1"/>
    </xf>
    <xf numFmtId="42" fontId="0" fillId="13" borderId="49" xfId="0" applyNumberFormat="1" applyFill="1" applyBorder="1" applyAlignment="1">
      <alignment horizontal="right" indent="1"/>
    </xf>
    <xf numFmtId="165" fontId="25" fillId="13" borderId="45" xfId="5" applyNumberFormat="1" applyFont="1" applyFill="1" applyBorder="1" applyAlignment="1" applyProtection="1">
      <alignment horizontal="center"/>
    </xf>
    <xf numFmtId="165" fontId="25" fillId="13" borderId="49" xfId="5" applyNumberFormat="1" applyFont="1" applyFill="1" applyBorder="1" applyAlignment="1" applyProtection="1">
      <alignment horizontal="center"/>
    </xf>
    <xf numFmtId="2" fontId="0" fillId="13" borderId="65" xfId="0" applyNumberFormat="1" applyFill="1" applyBorder="1" applyAlignment="1">
      <alignment horizontal="right" indent="1"/>
    </xf>
    <xf numFmtId="2" fontId="0" fillId="13" borderId="49" xfId="0" applyNumberFormat="1" applyFill="1" applyBorder="1" applyAlignment="1">
      <alignment horizontal="right" indent="1"/>
    </xf>
    <xf numFmtId="42" fontId="25" fillId="15" borderId="45" xfId="2" applyNumberFormat="1" applyFont="1" applyFill="1" applyBorder="1" applyAlignment="1" applyProtection="1">
      <alignment horizontal="right"/>
    </xf>
    <xf numFmtId="42" fontId="25" fillId="15" borderId="14" xfId="2" applyNumberFormat="1" applyFont="1" applyFill="1" applyBorder="1" applyAlignment="1" applyProtection="1">
      <alignment horizontal="right"/>
    </xf>
    <xf numFmtId="42" fontId="25" fillId="15" borderId="49" xfId="2" applyNumberFormat="1" applyFont="1" applyFill="1" applyBorder="1" applyAlignment="1" applyProtection="1">
      <alignment horizontal="right"/>
    </xf>
    <xf numFmtId="42" fontId="25" fillId="13" borderId="17" xfId="2" applyNumberFormat="1" applyFont="1" applyFill="1" applyBorder="1" applyProtection="1"/>
    <xf numFmtId="42" fontId="25" fillId="13" borderId="43" xfId="2" applyNumberFormat="1" applyFont="1" applyFill="1" applyBorder="1" applyProtection="1"/>
    <xf numFmtId="0" fontId="0" fillId="12" borderId="52" xfId="0" applyFill="1" applyBorder="1" applyAlignment="1">
      <alignment horizontal="center"/>
    </xf>
    <xf numFmtId="42" fontId="0" fillId="15" borderId="45" xfId="0" applyNumberFormat="1" applyFill="1" applyBorder="1"/>
    <xf numFmtId="42" fontId="0" fillId="15" borderId="14" xfId="0" applyNumberFormat="1" applyFill="1" applyBorder="1"/>
    <xf numFmtId="42" fontId="0" fillId="15" borderId="49" xfId="0" applyNumberFormat="1" applyFill="1" applyBorder="1"/>
    <xf numFmtId="0" fontId="0" fillId="13" borderId="77" xfId="0" applyFill="1" applyBorder="1" applyAlignment="1">
      <alignment horizontal="left" indent="1"/>
    </xf>
    <xf numFmtId="0" fontId="0" fillId="13" borderId="17" xfId="0" applyFill="1" applyBorder="1" applyAlignment="1">
      <alignment horizontal="left" indent="1"/>
    </xf>
    <xf numFmtId="0" fontId="0" fillId="13" borderId="79" xfId="0" applyFill="1" applyBorder="1" applyAlignment="1">
      <alignment horizontal="left" indent="1"/>
    </xf>
    <xf numFmtId="0" fontId="0" fillId="13" borderId="80" xfId="0" applyFill="1" applyBorder="1" applyAlignment="1">
      <alignment horizontal="left" indent="1"/>
    </xf>
    <xf numFmtId="0" fontId="0" fillId="11" borderId="80" xfId="0" applyFill="1" applyBorder="1" applyAlignment="1" applyProtection="1">
      <alignment horizontal="left" indent="1"/>
      <protection locked="0"/>
    </xf>
    <xf numFmtId="0" fontId="0" fillId="13" borderId="77" xfId="0" applyFill="1" applyBorder="1" applyAlignment="1">
      <alignment horizontal="left" indent="2"/>
    </xf>
    <xf numFmtId="0" fontId="0" fillId="13" borderId="17" xfId="0" applyFill="1" applyBorder="1" applyAlignment="1">
      <alignment horizontal="left" indent="2"/>
    </xf>
    <xf numFmtId="0" fontId="0" fillId="13" borderId="41" xfId="0" applyFill="1" applyBorder="1" applyAlignment="1">
      <alignment horizontal="left" vertical="center" indent="2"/>
    </xf>
    <xf numFmtId="0" fontId="0" fillId="13" borderId="2" xfId="0" applyFill="1" applyBorder="1" applyAlignment="1">
      <alignment horizontal="left" vertical="center" indent="2"/>
    </xf>
    <xf numFmtId="0" fontId="0" fillId="13" borderId="3" xfId="0" applyFill="1" applyBorder="1" applyAlignment="1">
      <alignment horizontal="left" vertical="center" indent="2"/>
    </xf>
    <xf numFmtId="0" fontId="0" fillId="13" borderId="39" xfId="0" applyFill="1" applyBorder="1" applyAlignment="1">
      <alignment horizontal="left" vertical="center" indent="2"/>
    </xf>
    <xf numFmtId="0" fontId="0" fillId="13" borderId="0" xfId="0" applyFill="1" applyAlignment="1">
      <alignment horizontal="left" vertical="center" indent="2"/>
    </xf>
    <xf numFmtId="0" fontId="0" fillId="13" borderId="5" xfId="0" applyFill="1" applyBorder="1" applyAlignment="1">
      <alignment horizontal="left" vertical="center" indent="2"/>
    </xf>
    <xf numFmtId="0" fontId="0" fillId="13" borderId="11" xfId="0" applyFill="1" applyBorder="1" applyAlignment="1">
      <alignment horizontal="left" vertical="center" indent="2"/>
    </xf>
    <xf numFmtId="0" fontId="0" fillId="13" borderId="16" xfId="0" applyFill="1" applyBorder="1" applyAlignment="1">
      <alignment horizontal="left" vertical="center" indent="2"/>
    </xf>
    <xf numFmtId="0" fontId="0" fillId="13" borderId="74" xfId="0" applyFill="1" applyBorder="1" applyAlignment="1">
      <alignment horizontal="left" vertical="center" indent="2"/>
    </xf>
    <xf numFmtId="0" fontId="0" fillId="13" borderId="41" xfId="0" applyFill="1" applyBorder="1" applyAlignment="1">
      <alignment horizontal="left" vertical="center" indent="1"/>
    </xf>
    <xf numFmtId="0" fontId="0" fillId="13" borderId="39" xfId="0" applyFill="1" applyBorder="1" applyAlignment="1">
      <alignment horizontal="left" vertical="center" indent="1"/>
    </xf>
    <xf numFmtId="0" fontId="0" fillId="13" borderId="0" xfId="0" applyFill="1" applyAlignment="1">
      <alignment horizontal="left" vertical="center" indent="1"/>
    </xf>
    <xf numFmtId="0" fontId="0" fillId="13" borderId="5" xfId="0" applyFill="1" applyBorder="1" applyAlignment="1">
      <alignment horizontal="left" vertical="center" indent="1"/>
    </xf>
    <xf numFmtId="0" fontId="0" fillId="13" borderId="53" xfId="0" applyFill="1" applyBorder="1" applyAlignment="1">
      <alignment horizontal="left" vertical="center" indent="1"/>
    </xf>
    <xf numFmtId="0" fontId="0" fillId="13" borderId="52" xfId="0" applyFill="1" applyBorder="1" applyAlignment="1">
      <alignment horizontal="left" vertical="center" indent="1"/>
    </xf>
    <xf numFmtId="0" fontId="0" fillId="13" borderId="15" xfId="0" applyFill="1" applyBorder="1" applyAlignment="1">
      <alignment horizontal="left" vertical="center" indent="1"/>
    </xf>
    <xf numFmtId="42" fontId="2" fillId="15" borderId="45" xfId="2" applyNumberFormat="1" applyFont="1" applyFill="1" applyBorder="1" applyProtection="1"/>
    <xf numFmtId="42" fontId="2" fillId="15" borderId="14" xfId="2" applyNumberFormat="1" applyFont="1" applyFill="1" applyBorder="1" applyProtection="1"/>
    <xf numFmtId="42" fontId="2" fillId="15" borderId="49" xfId="2" applyNumberFormat="1" applyFont="1" applyFill="1" applyBorder="1" applyProtection="1"/>
    <xf numFmtId="172" fontId="37" fillId="12" borderId="52" xfId="2" applyNumberFormat="1" applyFont="1" applyFill="1" applyBorder="1" applyAlignment="1" applyProtection="1">
      <alignment horizontal="center"/>
    </xf>
    <xf numFmtId="0" fontId="0" fillId="13" borderId="41" xfId="0" applyFill="1" applyBorder="1" applyAlignment="1">
      <alignment horizontal="left" vertical="center" wrapText="1" indent="1"/>
    </xf>
    <xf numFmtId="0" fontId="0" fillId="13" borderId="11" xfId="0" applyFill="1" applyBorder="1" applyAlignment="1">
      <alignment horizontal="left" vertical="center" indent="1"/>
    </xf>
    <xf numFmtId="42" fontId="0" fillId="13" borderId="82" xfId="0" applyNumberFormat="1" applyFill="1" applyBorder="1"/>
    <xf numFmtId="42" fontId="0" fillId="13" borderId="67" xfId="0" applyNumberFormat="1" applyFill="1" applyBorder="1"/>
    <xf numFmtId="42" fontId="25" fillId="15" borderId="76" xfId="2" applyNumberFormat="1" applyFont="1" applyFill="1" applyBorder="1" applyAlignment="1" applyProtection="1">
      <alignment horizontal="right"/>
    </xf>
    <xf numFmtId="0" fontId="27" fillId="14" borderId="83"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14" borderId="89" xfId="0" applyFont="1" applyFill="1" applyBorder="1" applyAlignment="1">
      <alignment horizontal="center" vertical="center" wrapText="1"/>
    </xf>
    <xf numFmtId="165" fontId="25" fillId="13" borderId="82" xfId="5" applyNumberFormat="1" applyFont="1" applyFill="1" applyBorder="1" applyAlignment="1" applyProtection="1"/>
    <xf numFmtId="2" fontId="25" fillId="13" borderId="86" xfId="1" applyNumberFormat="1" applyFont="1" applyFill="1" applyBorder="1" applyAlignment="1" applyProtection="1"/>
    <xf numFmtId="2" fontId="25" fillId="13" borderId="82" xfId="1" applyNumberFormat="1" applyFont="1" applyFill="1" applyBorder="1" applyAlignment="1" applyProtection="1"/>
    <xf numFmtId="165" fontId="25" fillId="13" borderId="80" xfId="5" applyNumberFormat="1" applyFont="1" applyFill="1" applyBorder="1" applyAlignment="1" applyProtection="1"/>
    <xf numFmtId="0" fontId="0" fillId="11" borderId="79" xfId="0" applyFill="1" applyBorder="1" applyAlignment="1" applyProtection="1">
      <alignment horizontal="left" indent="1"/>
      <protection locked="0"/>
    </xf>
    <xf numFmtId="167" fontId="0" fillId="11" borderId="80" xfId="0" applyNumberFormat="1" applyFill="1" applyBorder="1" applyAlignment="1" applyProtection="1">
      <alignment horizontal="center"/>
      <protection locked="0"/>
    </xf>
    <xf numFmtId="167" fontId="0" fillId="11" borderId="82" xfId="0" applyNumberFormat="1" applyFill="1" applyBorder="1" applyAlignment="1" applyProtection="1">
      <alignment horizontal="center"/>
      <protection locked="0"/>
    </xf>
    <xf numFmtId="0" fontId="0" fillId="11" borderId="82" xfId="0" applyFill="1" applyBorder="1" applyAlignment="1" applyProtection="1">
      <alignment horizontal="center"/>
      <protection locked="0"/>
    </xf>
    <xf numFmtId="0" fontId="0" fillId="11" borderId="67" xfId="0" applyFill="1" applyBorder="1" applyAlignment="1" applyProtection="1">
      <alignment horizontal="center"/>
      <protection locked="0"/>
    </xf>
    <xf numFmtId="0" fontId="27" fillId="14" borderId="56" xfId="0" applyFont="1" applyFill="1" applyBorder="1" applyAlignment="1">
      <alignment horizontal="center" vertical="center" wrapText="1"/>
    </xf>
    <xf numFmtId="42" fontId="0" fillId="13" borderId="51" xfId="0" applyNumberFormat="1" applyFill="1" applyBorder="1"/>
    <xf numFmtId="42" fontId="0" fillId="15" borderId="83" xfId="0" applyNumberFormat="1" applyFill="1" applyBorder="1" applyAlignment="1">
      <alignment horizontal="right"/>
    </xf>
    <xf numFmtId="42" fontId="0" fillId="15" borderId="89" xfId="0" applyNumberFormat="1" applyFill="1" applyBorder="1" applyAlignment="1">
      <alignment horizontal="right"/>
    </xf>
    <xf numFmtId="42" fontId="0" fillId="15" borderId="7" xfId="0" applyNumberFormat="1" applyFill="1" applyBorder="1" applyAlignment="1">
      <alignment horizontal="right"/>
    </xf>
    <xf numFmtId="42" fontId="0" fillId="15" borderId="76" xfId="0" applyNumberFormat="1" applyFill="1" applyBorder="1"/>
    <xf numFmtId="165" fontId="25" fillId="13" borderId="44" xfId="5" applyNumberFormat="1" applyFont="1" applyFill="1" applyBorder="1" applyAlignment="1" applyProtection="1">
      <alignment horizontal="center"/>
    </xf>
    <xf numFmtId="165" fontId="25" fillId="13" borderId="48" xfId="5" applyNumberFormat="1" applyFont="1" applyFill="1" applyBorder="1" applyAlignment="1" applyProtection="1">
      <alignment horizontal="center"/>
    </xf>
    <xf numFmtId="2" fontId="0" fillId="11" borderId="46" xfId="0" applyNumberFormat="1" applyFill="1" applyBorder="1" applyAlignment="1" applyProtection="1">
      <alignment horizontal="center"/>
      <protection locked="0"/>
    </xf>
    <xf numFmtId="2" fontId="0" fillId="11" borderId="51" xfId="0" applyNumberFormat="1" applyFill="1" applyBorder="1" applyAlignment="1" applyProtection="1">
      <alignment horizontal="center"/>
      <protection locked="0"/>
    </xf>
    <xf numFmtId="2" fontId="0" fillId="13" borderId="84" xfId="0" applyNumberFormat="1" applyFill="1" applyBorder="1" applyAlignment="1">
      <alignment horizontal="right" indent="1"/>
    </xf>
    <xf numFmtId="2" fontId="0" fillId="13" borderId="51" xfId="0" applyNumberFormat="1" applyFill="1" applyBorder="1" applyAlignment="1">
      <alignment horizontal="right" indent="1"/>
    </xf>
    <xf numFmtId="42" fontId="0" fillId="13" borderId="44" xfId="0" applyNumberFormat="1" applyFill="1" applyBorder="1" applyAlignment="1">
      <alignment horizontal="right" indent="1"/>
    </xf>
    <xf numFmtId="42" fontId="0" fillId="13" borderId="47" xfId="0" applyNumberFormat="1" applyFill="1" applyBorder="1" applyAlignment="1">
      <alignment horizontal="right" indent="1"/>
    </xf>
    <xf numFmtId="42" fontId="0" fillId="13" borderId="48" xfId="0" applyNumberFormat="1" applyFill="1" applyBorder="1" applyAlignment="1">
      <alignment horizontal="right" indent="1"/>
    </xf>
    <xf numFmtId="0" fontId="4" fillId="12" borderId="39" xfId="0" applyFont="1" applyFill="1" applyBorder="1" applyAlignment="1">
      <alignment horizontal="center"/>
    </xf>
    <xf numFmtId="0" fontId="4" fillId="12" borderId="0" xfId="0" applyFont="1" applyFill="1" applyAlignment="1">
      <alignment horizontal="center"/>
    </xf>
    <xf numFmtId="0" fontId="4" fillId="12" borderId="40" xfId="0" applyFont="1" applyFill="1" applyBorder="1" applyAlignment="1">
      <alignment horizontal="center"/>
    </xf>
    <xf numFmtId="0" fontId="27" fillId="14" borderId="55" xfId="0" applyFont="1" applyFill="1" applyBorder="1" applyAlignment="1">
      <alignment horizontal="center" vertical="center" wrapText="1"/>
    </xf>
    <xf numFmtId="0" fontId="27" fillId="14" borderId="81" xfId="0" applyFont="1" applyFill="1" applyBorder="1" applyAlignment="1">
      <alignment horizontal="center" vertical="center" wrapText="1"/>
    </xf>
    <xf numFmtId="0" fontId="4" fillId="12" borderId="0" xfId="0" applyFont="1" applyFill="1" applyAlignment="1">
      <alignment horizontal="left" vertical="top" wrapText="1"/>
    </xf>
    <xf numFmtId="42" fontId="0" fillId="13" borderId="64" xfId="0" applyNumberFormat="1" applyFill="1" applyBorder="1" applyAlignment="1">
      <alignment horizontal="right" indent="1"/>
    </xf>
    <xf numFmtId="42" fontId="0" fillId="13" borderId="66" xfId="0" applyNumberFormat="1" applyFill="1" applyBorder="1" applyAlignment="1">
      <alignment horizontal="right" indent="1"/>
    </xf>
    <xf numFmtId="174" fontId="0" fillId="12" borderId="2" xfId="0" applyNumberFormat="1" applyFill="1" applyBorder="1" applyAlignment="1">
      <alignment wrapText="1"/>
    </xf>
    <xf numFmtId="174" fontId="0" fillId="12" borderId="16" xfId="0" applyNumberFormat="1" applyFill="1" applyBorder="1" applyAlignment="1">
      <alignment wrapText="1"/>
    </xf>
    <xf numFmtId="49" fontId="0" fillId="11" borderId="63" xfId="0" applyNumberFormat="1" applyFill="1" applyBorder="1" applyAlignment="1" applyProtection="1">
      <alignment horizontal="left"/>
      <protection locked="0"/>
    </xf>
    <xf numFmtId="49" fontId="0" fillId="11" borderId="47" xfId="0" applyNumberFormat="1" applyFill="1" applyBorder="1" applyAlignment="1" applyProtection="1">
      <alignment horizontal="left"/>
      <protection locked="0"/>
    </xf>
    <xf numFmtId="49" fontId="0" fillId="11" borderId="48" xfId="0" applyNumberFormat="1" applyFill="1" applyBorder="1" applyAlignment="1" applyProtection="1">
      <alignment horizontal="left"/>
      <protection locked="0"/>
    </xf>
    <xf numFmtId="49" fontId="0" fillId="11" borderId="65" xfId="0" applyNumberFormat="1" applyFill="1" applyBorder="1" applyAlignment="1" applyProtection="1">
      <alignment horizontal="left"/>
      <protection locked="0"/>
    </xf>
    <xf numFmtId="49" fontId="0" fillId="11" borderId="14" xfId="0" applyNumberFormat="1" applyFill="1" applyBorder="1" applyAlignment="1" applyProtection="1">
      <alignment horizontal="left"/>
      <protection locked="0"/>
    </xf>
    <xf numFmtId="49" fontId="0" fillId="11" borderId="49" xfId="0" applyNumberFormat="1" applyFill="1" applyBorder="1" applyAlignment="1" applyProtection="1">
      <alignment horizontal="left"/>
      <protection locked="0"/>
    </xf>
    <xf numFmtId="2" fontId="0" fillId="13" borderId="91" xfId="0" applyNumberFormat="1" applyFill="1" applyBorder="1" applyAlignment="1">
      <alignment horizontal="right" indent="1"/>
    </xf>
    <xf numFmtId="2" fontId="0" fillId="13" borderId="79" xfId="0" applyNumberFormat="1" applyFill="1" applyBorder="1" applyAlignment="1">
      <alignment horizontal="right" indent="1"/>
    </xf>
    <xf numFmtId="165" fontId="25" fillId="11" borderId="85" xfId="5" applyNumberFormat="1" applyFont="1" applyFill="1" applyBorder="1" applyAlignment="1" applyProtection="1">
      <alignment horizontal="center"/>
      <protection locked="0"/>
    </xf>
    <xf numFmtId="165" fontId="25" fillId="11" borderId="91" xfId="5" applyNumberFormat="1" applyFont="1" applyFill="1" applyBorder="1" applyAlignment="1" applyProtection="1">
      <alignment horizontal="center"/>
      <protection locked="0"/>
    </xf>
    <xf numFmtId="165" fontId="25" fillId="11" borderId="43" xfId="5" applyNumberFormat="1" applyFont="1" applyFill="1" applyBorder="1" applyAlignment="1" applyProtection="1">
      <alignment horizontal="center"/>
      <protection locked="0"/>
    </xf>
    <xf numFmtId="165" fontId="25" fillId="11" borderId="90" xfId="5" applyNumberFormat="1" applyFont="1" applyFill="1" applyBorder="1" applyAlignment="1" applyProtection="1">
      <alignment horizontal="center"/>
      <protection locked="0"/>
    </xf>
    <xf numFmtId="2" fontId="0" fillId="11" borderId="44" xfId="0" applyNumberFormat="1" applyFill="1" applyBorder="1" applyAlignment="1" applyProtection="1">
      <alignment horizontal="center"/>
      <protection locked="0"/>
    </xf>
    <xf numFmtId="2" fontId="0" fillId="11" borderId="48" xfId="0" applyNumberFormat="1" applyFill="1" applyBorder="1" applyAlignment="1" applyProtection="1">
      <alignment horizontal="center"/>
      <protection locked="0"/>
    </xf>
    <xf numFmtId="44" fontId="25" fillId="11" borderId="44" xfId="2" applyFont="1" applyFill="1" applyBorder="1" applyAlignment="1" applyProtection="1">
      <alignment horizontal="right"/>
      <protection locked="0"/>
    </xf>
    <xf numFmtId="44" fontId="25" fillId="11" borderId="47" xfId="2" applyFont="1" applyFill="1" applyBorder="1" applyAlignment="1" applyProtection="1">
      <alignment horizontal="right"/>
      <protection locked="0"/>
    </xf>
    <xf numFmtId="44" fontId="25" fillId="11" borderId="48" xfId="2" applyFont="1" applyFill="1" applyBorder="1" applyAlignment="1" applyProtection="1">
      <alignment horizontal="right"/>
      <protection locked="0"/>
    </xf>
    <xf numFmtId="44" fontId="25" fillId="11" borderId="45" xfId="2" applyFont="1" applyFill="1" applyBorder="1" applyAlignment="1" applyProtection="1">
      <alignment horizontal="right"/>
      <protection locked="0"/>
    </xf>
    <xf numFmtId="44" fontId="25" fillId="11" borderId="14" xfId="2" applyFont="1" applyFill="1" applyBorder="1" applyAlignment="1" applyProtection="1">
      <alignment horizontal="right"/>
      <protection locked="0"/>
    </xf>
    <xf numFmtId="44" fontId="25" fillId="11" borderId="49" xfId="2" applyFont="1" applyFill="1" applyBorder="1" applyAlignment="1" applyProtection="1">
      <alignment horizontal="right"/>
      <protection locked="0"/>
    </xf>
    <xf numFmtId="42" fontId="25" fillId="13" borderId="44" xfId="5" applyNumberFormat="1" applyFont="1" applyFill="1" applyBorder="1" applyAlignment="1" applyProtection="1">
      <alignment horizontal="right" indent="1"/>
    </xf>
    <xf numFmtId="42" fontId="25" fillId="13" borderId="48" xfId="5" applyNumberFormat="1" applyFont="1" applyFill="1" applyBorder="1" applyAlignment="1" applyProtection="1">
      <alignment horizontal="right" indent="1"/>
    </xf>
    <xf numFmtId="42" fontId="25" fillId="13" borderId="45" xfId="5" applyNumberFormat="1" applyFont="1" applyFill="1" applyBorder="1" applyAlignment="1" applyProtection="1">
      <alignment horizontal="right" indent="1"/>
    </xf>
    <xf numFmtId="42" fontId="25" fillId="13" borderId="49" xfId="5" applyNumberFormat="1" applyFont="1" applyFill="1" applyBorder="1" applyAlignment="1" applyProtection="1">
      <alignment horizontal="right" indent="1"/>
    </xf>
    <xf numFmtId="44" fontId="25" fillId="11" borderId="46" xfId="2" applyFont="1" applyFill="1" applyBorder="1" applyAlignment="1" applyProtection="1">
      <alignment horizontal="right"/>
      <protection locked="0"/>
    </xf>
    <xf numFmtId="44" fontId="25" fillId="11" borderId="50" xfId="2" applyFont="1" applyFill="1" applyBorder="1" applyAlignment="1" applyProtection="1">
      <alignment horizontal="right"/>
      <protection locked="0"/>
    </xf>
    <xf numFmtId="44" fontId="25" fillId="11" borderId="51" xfId="2" applyFont="1" applyFill="1" applyBorder="1" applyAlignment="1" applyProtection="1">
      <alignment horizontal="right"/>
      <protection locked="0"/>
    </xf>
    <xf numFmtId="42" fontId="25" fillId="13" borderId="65" xfId="2" applyNumberFormat="1" applyFont="1" applyFill="1" applyBorder="1" applyAlignment="1" applyProtection="1">
      <alignment horizontal="right" vertical="center"/>
    </xf>
    <xf numFmtId="42" fontId="25" fillId="13" borderId="14" xfId="2" applyNumberFormat="1" applyFont="1" applyFill="1" applyBorder="1" applyAlignment="1" applyProtection="1">
      <alignment horizontal="right" vertical="center"/>
    </xf>
    <xf numFmtId="42" fontId="25" fillId="13" borderId="49" xfId="2" applyNumberFormat="1" applyFont="1" applyFill="1" applyBorder="1" applyAlignment="1" applyProtection="1">
      <alignment horizontal="right" vertical="center"/>
    </xf>
    <xf numFmtId="165" fontId="25" fillId="13" borderId="45" xfId="5" applyNumberFormat="1" applyFont="1" applyFill="1" applyBorder="1" applyAlignment="1" applyProtection="1">
      <alignment horizontal="center" vertical="center"/>
    </xf>
    <xf numFmtId="165" fontId="25" fillId="13" borderId="49" xfId="5" applyNumberFormat="1" applyFont="1" applyFill="1" applyBorder="1" applyAlignment="1" applyProtection="1">
      <alignment horizontal="center" vertical="center"/>
    </xf>
    <xf numFmtId="165" fontId="25" fillId="11" borderId="67" xfId="5" applyNumberFormat="1" applyFont="1" applyFill="1" applyBorder="1" applyAlignment="1" applyProtection="1">
      <alignment horizontal="center"/>
      <protection locked="0"/>
    </xf>
    <xf numFmtId="165" fontId="25" fillId="11" borderId="93" xfId="5" applyNumberFormat="1" applyFont="1" applyFill="1" applyBorder="1" applyAlignment="1" applyProtection="1">
      <alignment horizontal="center"/>
      <protection locked="0"/>
    </xf>
    <xf numFmtId="42" fontId="0" fillId="13" borderId="46" xfId="0" applyNumberFormat="1" applyFill="1" applyBorder="1" applyAlignment="1">
      <alignment horizontal="right" indent="1"/>
    </xf>
    <xf numFmtId="42" fontId="0" fillId="13" borderId="50" xfId="0" applyNumberFormat="1" applyFill="1" applyBorder="1" applyAlignment="1">
      <alignment horizontal="right" indent="1"/>
    </xf>
    <xf numFmtId="42" fontId="0" fillId="13" borderId="51" xfId="0" applyNumberFormat="1" applyFill="1" applyBorder="1" applyAlignment="1">
      <alignment horizontal="right" indent="1"/>
    </xf>
    <xf numFmtId="0" fontId="0" fillId="11" borderId="44" xfId="0" applyFill="1" applyBorder="1" applyAlignment="1" applyProtection="1">
      <alignment horizontal="center" vertical="center"/>
      <protection locked="0"/>
    </xf>
    <xf numFmtId="0" fontId="0" fillId="11" borderId="47" xfId="0" applyFill="1" applyBorder="1" applyAlignment="1" applyProtection="1">
      <alignment horizontal="center" vertical="center"/>
      <protection locked="0"/>
    </xf>
    <xf numFmtId="0" fontId="0" fillId="11" borderId="64" xfId="0" applyFill="1" applyBorder="1" applyAlignment="1" applyProtection="1">
      <alignment horizontal="center" vertical="center"/>
      <protection locked="0"/>
    </xf>
    <xf numFmtId="0" fontId="0" fillId="11" borderId="4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0" fillId="11" borderId="66" xfId="0" applyFill="1" applyBorder="1" applyAlignment="1" applyProtection="1">
      <alignment horizontal="center" vertical="center"/>
      <protection locked="0"/>
    </xf>
    <xf numFmtId="0" fontId="0" fillId="11" borderId="45" xfId="0" applyFill="1" applyBorder="1" applyAlignment="1" applyProtection="1">
      <alignment horizontal="center"/>
      <protection locked="0"/>
    </xf>
    <xf numFmtId="0" fontId="0" fillId="11" borderId="14" xfId="0" applyFill="1" applyBorder="1" applyAlignment="1" applyProtection="1">
      <alignment horizontal="center"/>
      <protection locked="0"/>
    </xf>
    <xf numFmtId="0" fontId="0" fillId="11" borderId="66" xfId="0" applyFill="1" applyBorder="1" applyAlignment="1" applyProtection="1">
      <alignment horizontal="center"/>
      <protection locked="0"/>
    </xf>
    <xf numFmtId="0" fontId="27" fillId="14" borderId="55" xfId="0" applyFont="1" applyFill="1" applyBorder="1" applyAlignment="1">
      <alignment horizontal="center" vertical="center"/>
    </xf>
    <xf numFmtId="42" fontId="25" fillId="13" borderId="45" xfId="2" applyNumberFormat="1" applyFont="1" applyFill="1" applyBorder="1" applyAlignment="1" applyProtection="1">
      <alignment horizontal="right" vertical="center"/>
    </xf>
    <xf numFmtId="42" fontId="25" fillId="13" borderId="66" xfId="2" applyNumberFormat="1" applyFont="1" applyFill="1" applyBorder="1" applyAlignment="1" applyProtection="1">
      <alignment horizontal="right" vertical="center"/>
    </xf>
    <xf numFmtId="42" fontId="25" fillId="13" borderId="46" xfId="5" applyNumberFormat="1" applyFont="1" applyFill="1" applyBorder="1" applyAlignment="1" applyProtection="1">
      <alignment horizontal="right" indent="1"/>
    </xf>
    <xf numFmtId="42" fontId="25" fillId="13" borderId="51" xfId="5" applyNumberFormat="1" applyFont="1" applyFill="1" applyBorder="1" applyAlignment="1" applyProtection="1">
      <alignment horizontal="right" indent="1"/>
    </xf>
    <xf numFmtId="165" fontId="25" fillId="13" borderId="44" xfId="5" applyNumberFormat="1" applyFont="1" applyFill="1" applyBorder="1" applyAlignment="1" applyProtection="1">
      <alignment horizontal="center" vertical="center"/>
    </xf>
    <xf numFmtId="165" fontId="25" fillId="13" borderId="48" xfId="5" applyNumberFormat="1" applyFont="1" applyFill="1" applyBorder="1" applyAlignment="1" applyProtection="1">
      <alignment horizontal="center" vertical="center"/>
    </xf>
    <xf numFmtId="42" fontId="25" fillId="13" borderId="44" xfId="2" applyNumberFormat="1" applyFont="1" applyFill="1" applyBorder="1" applyAlignment="1" applyProtection="1">
      <alignment horizontal="right" vertical="center"/>
    </xf>
    <xf numFmtId="42" fontId="25" fillId="13" borderId="48" xfId="2" applyNumberFormat="1" applyFont="1" applyFill="1" applyBorder="1" applyAlignment="1" applyProtection="1">
      <alignment horizontal="right" vertical="center"/>
    </xf>
    <xf numFmtId="165" fontId="25" fillId="13" borderId="46" xfId="5" applyNumberFormat="1" applyFont="1" applyFill="1" applyBorder="1" applyAlignment="1" applyProtection="1">
      <alignment horizontal="center"/>
    </xf>
    <xf numFmtId="165" fontId="25" fillId="13" borderId="51" xfId="5" applyNumberFormat="1" applyFont="1" applyFill="1" applyBorder="1" applyAlignment="1" applyProtection="1">
      <alignment horizontal="center"/>
    </xf>
    <xf numFmtId="42" fontId="0" fillId="13" borderId="92" xfId="0" applyNumberFormat="1" applyFill="1" applyBorder="1" applyAlignment="1">
      <alignment horizontal="right" indent="1"/>
    </xf>
    <xf numFmtId="49" fontId="0" fillId="11" borderId="84" xfId="0" applyNumberFormat="1" applyFill="1" applyBorder="1" applyAlignment="1" applyProtection="1">
      <alignment horizontal="left"/>
      <protection locked="0"/>
    </xf>
    <xf numFmtId="49" fontId="0" fillId="11" borderId="50" xfId="0" applyNumberFormat="1" applyFill="1" applyBorder="1" applyAlignment="1" applyProtection="1">
      <alignment horizontal="left"/>
      <protection locked="0"/>
    </xf>
    <xf numFmtId="49" fontId="0" fillId="11" borderId="51" xfId="0" applyNumberFormat="1" applyFill="1" applyBorder="1" applyAlignment="1" applyProtection="1">
      <alignment horizontal="left"/>
      <protection locked="0"/>
    </xf>
    <xf numFmtId="0" fontId="0" fillId="14" borderId="9" xfId="0" applyFill="1" applyBorder="1"/>
    <xf numFmtId="0" fontId="0" fillId="14" borderId="60" xfId="0" applyFill="1" applyBorder="1"/>
    <xf numFmtId="0" fontId="0" fillId="14" borderId="95" xfId="0" applyFill="1" applyBorder="1"/>
    <xf numFmtId="0" fontId="0" fillId="14" borderId="39" xfId="0" applyFill="1" applyBorder="1"/>
    <xf numFmtId="0" fontId="0" fillId="14" borderId="0" xfId="0" applyFill="1"/>
    <xf numFmtId="0" fontId="0" fillId="14" borderId="5" xfId="0" applyFill="1" applyBorder="1"/>
    <xf numFmtId="0" fontId="27" fillId="14" borderId="75" xfId="0" applyFont="1" applyFill="1" applyBorder="1" applyAlignment="1">
      <alignment horizontal="center" vertical="center"/>
    </xf>
    <xf numFmtId="0" fontId="0" fillId="14" borderId="11" xfId="0" applyFill="1" applyBorder="1"/>
    <xf numFmtId="0" fontId="0" fillId="14" borderId="16" xfId="0" applyFill="1" applyBorder="1"/>
    <xf numFmtId="0" fontId="0" fillId="14" borderId="74" xfId="0" applyFill="1" applyBorder="1"/>
    <xf numFmtId="42" fontId="25" fillId="13" borderId="92" xfId="2" applyNumberFormat="1" applyFont="1" applyFill="1" applyBorder="1" applyAlignment="1" applyProtection="1">
      <alignment horizontal="right" vertical="center"/>
    </xf>
    <xf numFmtId="42" fontId="25" fillId="13" borderId="63" xfId="2" applyNumberFormat="1" applyFont="1" applyFill="1" applyBorder="1" applyAlignment="1" applyProtection="1">
      <alignment horizontal="right" vertical="center"/>
    </xf>
    <xf numFmtId="42" fontId="25" fillId="13" borderId="47" xfId="2" applyNumberFormat="1" applyFont="1" applyFill="1" applyBorder="1" applyAlignment="1" applyProtection="1">
      <alignment horizontal="right" vertical="center"/>
    </xf>
    <xf numFmtId="42" fontId="25" fillId="13" borderId="84" xfId="2" applyNumberFormat="1" applyFont="1" applyFill="1" applyBorder="1" applyAlignment="1" applyProtection="1">
      <alignment horizontal="right" vertical="center"/>
    </xf>
    <xf numFmtId="42" fontId="25" fillId="13" borderId="64" xfId="2" applyNumberFormat="1" applyFont="1" applyFill="1" applyBorder="1" applyAlignment="1" applyProtection="1">
      <alignment horizontal="right" vertical="center"/>
    </xf>
    <xf numFmtId="165" fontId="25" fillId="13" borderId="46" xfId="5" applyNumberFormat="1" applyFont="1" applyFill="1" applyBorder="1" applyAlignment="1" applyProtection="1">
      <alignment horizontal="center" vertical="center"/>
    </xf>
    <xf numFmtId="165" fontId="25" fillId="13" borderId="51" xfId="5" applyNumberFormat="1" applyFont="1" applyFill="1" applyBorder="1" applyAlignment="1" applyProtection="1">
      <alignment horizontal="center" vertical="center"/>
    </xf>
    <xf numFmtId="42" fontId="25" fillId="15" borderId="83" xfId="2" applyNumberFormat="1" applyFont="1" applyFill="1" applyBorder="1" applyAlignment="1" applyProtection="1">
      <alignment horizontal="right"/>
    </xf>
    <xf numFmtId="42" fontId="25" fillId="15" borderId="7" xfId="2" applyNumberFormat="1" applyFont="1" applyFill="1" applyBorder="1" applyAlignment="1" applyProtection="1">
      <alignment horizontal="right"/>
    </xf>
    <xf numFmtId="42" fontId="25" fillId="15" borderId="89" xfId="2" applyNumberFormat="1" applyFont="1" applyFill="1" applyBorder="1" applyAlignment="1" applyProtection="1">
      <alignment horizontal="right"/>
    </xf>
    <xf numFmtId="2" fontId="25" fillId="13" borderId="79" xfId="5" applyNumberFormat="1" applyFont="1" applyFill="1" applyBorder="1" applyAlignment="1" applyProtection="1"/>
    <xf numFmtId="2" fontId="25" fillId="13" borderId="80" xfId="5" applyNumberFormat="1" applyFont="1" applyFill="1" applyBorder="1" applyAlignment="1" applyProtection="1"/>
    <xf numFmtId="2" fontId="25" fillId="13" borderId="65" xfId="5" applyNumberFormat="1" applyFont="1" applyFill="1" applyBorder="1" applyAlignment="1" applyProtection="1"/>
    <xf numFmtId="2" fontId="25" fillId="13" borderId="49" xfId="5" applyNumberFormat="1" applyFont="1" applyFill="1" applyBorder="1" applyAlignment="1" applyProtection="1"/>
    <xf numFmtId="42" fontId="25" fillId="13" borderId="94" xfId="2" applyNumberFormat="1" applyFont="1" applyFill="1" applyBorder="1" applyAlignment="1" applyProtection="1">
      <alignment horizontal="center" vertical="center"/>
    </xf>
    <xf numFmtId="42" fontId="25" fillId="13" borderId="60" xfId="2" applyNumberFormat="1" applyFont="1" applyFill="1" applyBorder="1" applyAlignment="1" applyProtection="1">
      <alignment horizontal="center" vertical="center"/>
    </xf>
    <xf numFmtId="42" fontId="25" fillId="13" borderId="95" xfId="2" applyNumberFormat="1" applyFont="1" applyFill="1" applyBorder="1" applyAlignment="1" applyProtection="1">
      <alignment horizontal="center" vertical="center"/>
    </xf>
    <xf numFmtId="42" fontId="25" fillId="13" borderId="9" xfId="2" applyNumberFormat="1" applyFont="1" applyFill="1" applyBorder="1" applyAlignment="1" applyProtection="1">
      <alignment horizontal="right" vertical="center"/>
    </xf>
    <xf numFmtId="42" fontId="25" fillId="13" borderId="60" xfId="2" applyNumberFormat="1" applyFont="1" applyFill="1" applyBorder="1" applyAlignment="1" applyProtection="1">
      <alignment horizontal="right" vertical="center"/>
    </xf>
    <xf numFmtId="42" fontId="25" fillId="13" borderId="95" xfId="2" applyNumberFormat="1" applyFont="1" applyFill="1" applyBorder="1" applyAlignment="1" applyProtection="1">
      <alignment horizontal="right" vertical="center"/>
    </xf>
    <xf numFmtId="42" fontId="25" fillId="13" borderId="41" xfId="2" applyNumberFormat="1" applyFont="1" applyFill="1" applyBorder="1" applyAlignment="1" applyProtection="1">
      <alignment horizontal="right" vertical="center"/>
    </xf>
    <xf numFmtId="42" fontId="25" fillId="13" borderId="2" xfId="2" applyNumberFormat="1" applyFont="1" applyFill="1" applyBorder="1" applyAlignment="1" applyProtection="1">
      <alignment horizontal="right" vertical="center"/>
    </xf>
    <xf numFmtId="42" fontId="25" fillId="13" borderId="3" xfId="2" applyNumberFormat="1" applyFont="1" applyFill="1" applyBorder="1" applyAlignment="1" applyProtection="1">
      <alignment horizontal="right" vertical="center"/>
    </xf>
    <xf numFmtId="2" fontId="25" fillId="13" borderId="84" xfId="5" applyNumberFormat="1" applyFont="1" applyFill="1" applyBorder="1" applyAlignment="1" applyProtection="1"/>
    <xf numFmtId="2" fontId="25" fillId="13" borderId="51" xfId="5" applyNumberFormat="1" applyFont="1" applyFill="1" applyBorder="1" applyAlignment="1" applyProtection="1"/>
    <xf numFmtId="0" fontId="0" fillId="12" borderId="76" xfId="0" applyFill="1" applyBorder="1" applyAlignment="1">
      <alignment horizontal="right"/>
    </xf>
    <xf numFmtId="42" fontId="25" fillId="13" borderId="46" xfId="2" applyNumberFormat="1" applyFont="1" applyFill="1" applyBorder="1" applyAlignment="1" applyProtection="1">
      <alignment horizontal="center" vertical="center"/>
    </xf>
    <xf numFmtId="42" fontId="25" fillId="13" borderId="51" xfId="2" applyNumberFormat="1" applyFont="1" applyFill="1" applyBorder="1" applyAlignment="1" applyProtection="1">
      <alignment horizontal="center" vertical="center"/>
    </xf>
    <xf numFmtId="42" fontId="25" fillId="13" borderId="1" xfId="2" applyNumberFormat="1" applyFont="1" applyFill="1" applyBorder="1" applyAlignment="1" applyProtection="1">
      <alignment horizontal="center" vertical="center"/>
    </xf>
    <xf numFmtId="42" fontId="25" fillId="13" borderId="3" xfId="2" applyNumberFormat="1" applyFont="1" applyFill="1" applyBorder="1" applyAlignment="1" applyProtection="1">
      <alignment horizontal="center" vertical="center"/>
    </xf>
    <xf numFmtId="42" fontId="25" fillId="13" borderId="2" xfId="2" applyNumberFormat="1" applyFont="1" applyFill="1" applyBorder="1" applyAlignment="1" applyProtection="1">
      <alignment horizontal="center" vertical="center"/>
    </xf>
    <xf numFmtId="42" fontId="25" fillId="13" borderId="10" xfId="2" applyNumberFormat="1" applyFont="1" applyFill="1" applyBorder="1" applyAlignment="1" applyProtection="1">
      <alignment horizontal="center" vertical="center"/>
    </xf>
    <xf numFmtId="42" fontId="25" fillId="13" borderId="42" xfId="2" applyNumberFormat="1" applyFont="1" applyFill="1" applyBorder="1" applyAlignment="1" applyProtection="1">
      <alignment horizontal="center" vertical="center"/>
    </xf>
    <xf numFmtId="42" fontId="25" fillId="13" borderId="45" xfId="2" applyNumberFormat="1" applyFont="1" applyFill="1" applyBorder="1" applyAlignment="1" applyProtection="1">
      <alignment horizontal="right"/>
    </xf>
    <xf numFmtId="42" fontId="25" fillId="13" borderId="14" xfId="2" applyNumberFormat="1" applyFont="1" applyFill="1" applyBorder="1" applyAlignment="1" applyProtection="1">
      <alignment horizontal="right"/>
    </xf>
    <xf numFmtId="42" fontId="25" fillId="13" borderId="49" xfId="2" applyNumberFormat="1" applyFont="1" applyFill="1" applyBorder="1" applyAlignment="1" applyProtection="1">
      <alignment horizontal="right"/>
    </xf>
    <xf numFmtId="49" fontId="0" fillId="13" borderId="65" xfId="0" applyNumberFormat="1" applyFill="1" applyBorder="1" applyAlignment="1">
      <alignment horizontal="left"/>
    </xf>
    <xf numFmtId="49" fontId="0" fillId="13" borderId="14" xfId="0" applyNumberFormat="1" applyFill="1" applyBorder="1" applyAlignment="1">
      <alignment horizontal="left"/>
    </xf>
    <xf numFmtId="49" fontId="0" fillId="13" borderId="49" xfId="0" applyNumberFormat="1" applyFill="1" applyBorder="1" applyAlignment="1">
      <alignment horizontal="left"/>
    </xf>
    <xf numFmtId="0" fontId="0" fillId="13" borderId="45" xfId="0" applyFill="1" applyBorder="1" applyAlignment="1">
      <alignment horizontal="center"/>
    </xf>
    <xf numFmtId="0" fontId="0" fillId="13" borderId="14" xfId="0" applyFill="1" applyBorder="1" applyAlignment="1">
      <alignment horizontal="center"/>
    </xf>
    <xf numFmtId="0" fontId="0" fillId="13" borderId="49" xfId="0" applyFill="1" applyBorder="1" applyAlignment="1">
      <alignment horizontal="center"/>
    </xf>
    <xf numFmtId="49" fontId="0" fillId="13" borderId="84" xfId="0" applyNumberFormat="1" applyFill="1" applyBorder="1" applyAlignment="1">
      <alignment horizontal="left"/>
    </xf>
    <xf numFmtId="49" fontId="0" fillId="13" borderId="50" xfId="0" applyNumberFormat="1" applyFill="1" applyBorder="1" applyAlignment="1">
      <alignment horizontal="left"/>
    </xf>
    <xf numFmtId="49" fontId="0" fillId="13" borderId="51" xfId="0" applyNumberFormat="1" applyFill="1" applyBorder="1" applyAlignment="1">
      <alignment horizontal="left"/>
    </xf>
    <xf numFmtId="0" fontId="0" fillId="13" borderId="46" xfId="0" applyFill="1" applyBorder="1" applyAlignment="1">
      <alignment horizontal="center"/>
    </xf>
    <xf numFmtId="0" fontId="0" fillId="13" borderId="50" xfId="0" applyFill="1" applyBorder="1" applyAlignment="1">
      <alignment horizontal="center"/>
    </xf>
    <xf numFmtId="0" fontId="0" fillId="13" borderId="51" xfId="0" applyFill="1" applyBorder="1" applyAlignment="1">
      <alignment horizontal="center"/>
    </xf>
    <xf numFmtId="42" fontId="25" fillId="13" borderId="46" xfId="2" applyNumberFormat="1" applyFont="1" applyFill="1" applyBorder="1" applyAlignment="1" applyProtection="1">
      <alignment horizontal="right"/>
    </xf>
    <xf numFmtId="42" fontId="25" fillId="13" borderId="50" xfId="2" applyNumberFormat="1" applyFont="1" applyFill="1" applyBorder="1" applyAlignment="1" applyProtection="1">
      <alignment horizontal="right"/>
    </xf>
    <xf numFmtId="42" fontId="25" fillId="13" borderId="51" xfId="2" applyNumberFormat="1" applyFont="1" applyFill="1" applyBorder="1" applyAlignment="1" applyProtection="1">
      <alignment horizontal="right"/>
    </xf>
    <xf numFmtId="42" fontId="25" fillId="13" borderId="44" xfId="2" applyNumberFormat="1" applyFont="1" applyFill="1" applyBorder="1" applyAlignment="1" applyProtection="1">
      <alignment horizontal="right"/>
    </xf>
    <xf numFmtId="42" fontId="25" fillId="13" borderId="47" xfId="2" applyNumberFormat="1" applyFont="1" applyFill="1" applyBorder="1" applyAlignment="1" applyProtection="1">
      <alignment horizontal="right"/>
    </xf>
    <xf numFmtId="42" fontId="25" fillId="13" borderId="48" xfId="2" applyNumberFormat="1" applyFont="1" applyFill="1" applyBorder="1" applyAlignment="1" applyProtection="1">
      <alignment horizontal="right"/>
    </xf>
    <xf numFmtId="0" fontId="0" fillId="13" borderId="44" xfId="0" applyFill="1" applyBorder="1" applyAlignment="1">
      <alignment horizontal="center"/>
    </xf>
    <xf numFmtId="0" fontId="0" fillId="13" borderId="47" xfId="0" applyFill="1" applyBorder="1" applyAlignment="1">
      <alignment horizontal="center"/>
    </xf>
    <xf numFmtId="0" fontId="0" fillId="13" borderId="48" xfId="0" applyFill="1" applyBorder="1" applyAlignment="1">
      <alignment horizontal="center"/>
    </xf>
    <xf numFmtId="49" fontId="0" fillId="13" borderId="63" xfId="0" applyNumberFormat="1" applyFill="1" applyBorder="1" applyAlignment="1">
      <alignment horizontal="left"/>
    </xf>
    <xf numFmtId="49" fontId="0" fillId="13" borderId="47" xfId="0" applyNumberFormat="1" applyFill="1" applyBorder="1" applyAlignment="1">
      <alignment horizontal="left"/>
    </xf>
    <xf numFmtId="49" fontId="0" fillId="13" borderId="48" xfId="0" applyNumberFormat="1" applyFill="1" applyBorder="1" applyAlignment="1">
      <alignment horizontal="left"/>
    </xf>
    <xf numFmtId="165" fontId="25" fillId="13" borderId="94" xfId="5" applyNumberFormat="1" applyFont="1" applyFill="1" applyBorder="1" applyAlignment="1" applyProtection="1">
      <alignment horizontal="center" vertical="center"/>
    </xf>
    <xf numFmtId="165" fontId="25" fillId="13" borderId="95" xfId="5" applyNumberFormat="1" applyFont="1" applyFill="1" applyBorder="1" applyAlignment="1" applyProtection="1">
      <alignment horizontal="center" vertical="center"/>
    </xf>
    <xf numFmtId="165" fontId="25" fillId="13" borderId="1" xfId="5" applyNumberFormat="1" applyFont="1" applyFill="1" applyBorder="1" applyAlignment="1" applyProtection="1">
      <alignment horizontal="center" vertical="center"/>
    </xf>
    <xf numFmtId="165" fontId="25" fillId="13" borderId="3" xfId="5" applyNumberFormat="1" applyFont="1" applyFill="1" applyBorder="1" applyAlignment="1" applyProtection="1">
      <alignment horizontal="center" vertical="center"/>
    </xf>
    <xf numFmtId="0" fontId="0" fillId="12" borderId="7" xfId="0" applyFill="1" applyBorder="1" applyAlignment="1">
      <alignment horizontal="center"/>
    </xf>
    <xf numFmtId="42" fontId="0" fillId="12" borderId="7" xfId="0" applyNumberFormat="1" applyFill="1" applyBorder="1" applyAlignment="1">
      <alignment horizontal="right"/>
    </xf>
    <xf numFmtId="0" fontId="0" fillId="14" borderId="107" xfId="0" applyFill="1" applyBorder="1" applyAlignment="1">
      <alignment horizontal="center"/>
    </xf>
    <xf numFmtId="0" fontId="0" fillId="14" borderId="6" xfId="0" applyFill="1" applyBorder="1" applyAlignment="1">
      <alignment horizontal="center"/>
    </xf>
    <xf numFmtId="0" fontId="0" fillId="14" borderId="108" xfId="0" applyFill="1" applyBorder="1" applyAlignment="1">
      <alignment horizontal="center"/>
    </xf>
    <xf numFmtId="0" fontId="0" fillId="14" borderId="109" xfId="0" applyFill="1" applyBorder="1" applyAlignment="1">
      <alignment horizontal="center"/>
    </xf>
    <xf numFmtId="42" fontId="25" fillId="13" borderId="50" xfId="2" applyNumberFormat="1" applyFont="1" applyFill="1" applyBorder="1" applyAlignment="1" applyProtection="1">
      <alignment horizontal="center" vertical="center"/>
    </xf>
    <xf numFmtId="0" fontId="0" fillId="13" borderId="86" xfId="0" applyFill="1" applyBorder="1" applyAlignment="1">
      <alignment horizontal="left" indent="1"/>
    </xf>
    <xf numFmtId="0" fontId="0" fillId="13" borderId="82" xfId="0" applyFill="1" applyBorder="1" applyAlignment="1">
      <alignment horizontal="left" indent="1"/>
    </xf>
    <xf numFmtId="0" fontId="0" fillId="13" borderId="84" xfId="0" applyFill="1" applyBorder="1" applyAlignment="1">
      <alignment horizontal="left" indent="1"/>
    </xf>
    <xf numFmtId="0" fontId="0" fillId="13" borderId="50" xfId="0" applyFill="1" applyBorder="1" applyAlignment="1">
      <alignment horizontal="left" indent="1"/>
    </xf>
    <xf numFmtId="42" fontId="25" fillId="13" borderId="92" xfId="2" applyNumberFormat="1" applyFont="1" applyFill="1" applyBorder="1" applyAlignment="1" applyProtection="1">
      <alignment horizontal="center" vertical="center"/>
    </xf>
    <xf numFmtId="0" fontId="0" fillId="14" borderId="39" xfId="0" applyFill="1" applyBorder="1" applyAlignment="1">
      <alignment horizontal="center"/>
    </xf>
    <xf numFmtId="0" fontId="0" fillId="14" borderId="0" xfId="0" applyFill="1" applyAlignment="1">
      <alignment horizontal="center"/>
    </xf>
    <xf numFmtId="0" fontId="0" fillId="14" borderId="5" xfId="0" applyFill="1" applyBorder="1" applyAlignment="1">
      <alignment horizontal="center"/>
    </xf>
    <xf numFmtId="0" fontId="0" fillId="11" borderId="13" xfId="0" applyFill="1" applyBorder="1" applyAlignment="1" applyProtection="1">
      <alignment horizontal="center" vertical="center"/>
      <protection locked="0"/>
    </xf>
    <xf numFmtId="0" fontId="0" fillId="11" borderId="52" xfId="0" applyFill="1" applyBorder="1" applyAlignment="1" applyProtection="1">
      <alignment horizontal="center" vertical="center"/>
      <protection locked="0"/>
    </xf>
    <xf numFmtId="0" fontId="0" fillId="11" borderId="54" xfId="0" applyFill="1" applyBorder="1" applyAlignment="1" applyProtection="1">
      <alignment horizontal="center" vertical="center"/>
      <protection locked="0"/>
    </xf>
    <xf numFmtId="0" fontId="0" fillId="11" borderId="46" xfId="0" applyFill="1" applyBorder="1" applyAlignment="1" applyProtection="1">
      <alignment horizontal="center" vertical="center"/>
      <protection locked="0"/>
    </xf>
    <xf numFmtId="0" fontId="0" fillId="11" borderId="50" xfId="0" applyFill="1" applyBorder="1" applyAlignment="1" applyProtection="1">
      <alignment horizontal="center" vertical="center"/>
      <protection locked="0"/>
    </xf>
    <xf numFmtId="0" fontId="0" fillId="11" borderId="92" xfId="0" applyFill="1" applyBorder="1" applyAlignment="1" applyProtection="1">
      <alignment horizontal="center" vertical="center"/>
      <protection locked="0"/>
    </xf>
    <xf numFmtId="0" fontId="0" fillId="17" borderId="107" xfId="0" applyFill="1" applyBorder="1" applyAlignment="1">
      <alignment horizontal="center"/>
    </xf>
    <xf numFmtId="0" fontId="0" fillId="17" borderId="6" xfId="0" applyFill="1" applyBorder="1" applyAlignment="1">
      <alignment horizontal="center"/>
    </xf>
    <xf numFmtId="0" fontId="0" fillId="17" borderId="110" xfId="0" applyFill="1" applyBorder="1" applyAlignment="1">
      <alignment horizontal="center"/>
    </xf>
    <xf numFmtId="0" fontId="0" fillId="17" borderId="9" xfId="0" applyFill="1" applyBorder="1" applyAlignment="1">
      <alignment horizontal="center"/>
    </xf>
    <xf numFmtId="0" fontId="0" fillId="17" borderId="60" xfId="0" applyFill="1" applyBorder="1" applyAlignment="1">
      <alignment horizontal="center"/>
    </xf>
    <xf numFmtId="0" fontId="0" fillId="17" borderId="10" xfId="0" applyFill="1" applyBorder="1" applyAlignment="1">
      <alignment horizontal="center"/>
    </xf>
    <xf numFmtId="2" fontId="25" fillId="13" borderId="86" xfId="5" applyNumberFormat="1" applyFont="1" applyFill="1" applyBorder="1" applyAlignment="1"/>
    <xf numFmtId="2" fontId="25" fillId="13" borderId="82" xfId="5" applyNumberFormat="1" applyFont="1" applyFill="1" applyBorder="1" applyAlignment="1"/>
    <xf numFmtId="2" fontId="25" fillId="13" borderId="79" xfId="5" applyNumberFormat="1" applyFont="1" applyFill="1" applyBorder="1" applyAlignment="1"/>
    <xf numFmtId="2" fontId="25" fillId="13" borderId="80" xfId="5" applyNumberFormat="1" applyFont="1" applyFill="1" applyBorder="1" applyAlignment="1"/>
    <xf numFmtId="2" fontId="25" fillId="13" borderId="77" xfId="5" applyNumberFormat="1" applyFont="1" applyFill="1" applyBorder="1" applyAlignment="1"/>
    <xf numFmtId="2" fontId="25" fillId="13" borderId="17" xfId="5" applyNumberFormat="1" applyFont="1" applyFill="1" applyBorder="1" applyAlignment="1"/>
    <xf numFmtId="165" fontId="25" fillId="13" borderId="45" xfId="5" applyNumberFormat="1" applyFont="1" applyFill="1" applyBorder="1" applyAlignment="1">
      <alignment horizontal="center"/>
    </xf>
    <xf numFmtId="165" fontId="25" fillId="13" borderId="49" xfId="5" applyNumberFormat="1" applyFont="1" applyFill="1" applyBorder="1" applyAlignment="1">
      <alignment horizontal="center"/>
    </xf>
    <xf numFmtId="42" fontId="25" fillId="13" borderId="45" xfId="5" applyNumberFormat="1" applyFont="1" applyFill="1" applyBorder="1" applyAlignment="1">
      <alignment horizontal="right" indent="1"/>
    </xf>
    <xf numFmtId="42" fontId="25" fillId="13" borderId="49" xfId="5" applyNumberFormat="1" applyFont="1" applyFill="1" applyBorder="1" applyAlignment="1">
      <alignment horizontal="right" indent="1"/>
    </xf>
    <xf numFmtId="165" fontId="25" fillId="13" borderId="44" xfId="5" applyNumberFormat="1" applyFont="1" applyFill="1" applyBorder="1" applyAlignment="1">
      <alignment horizontal="center"/>
    </xf>
    <xf numFmtId="165" fontId="25" fillId="13" borderId="48" xfId="5" applyNumberFormat="1" applyFont="1" applyFill="1" applyBorder="1" applyAlignment="1">
      <alignment horizontal="center"/>
    </xf>
    <xf numFmtId="42" fontId="25" fillId="13" borderId="44" xfId="5" applyNumberFormat="1" applyFont="1" applyFill="1" applyBorder="1" applyAlignment="1">
      <alignment horizontal="right" indent="1"/>
    </xf>
    <xf numFmtId="42" fontId="25" fillId="13" borderId="48" xfId="5" applyNumberFormat="1" applyFont="1" applyFill="1" applyBorder="1" applyAlignment="1">
      <alignment horizontal="right" indent="1"/>
    </xf>
    <xf numFmtId="0" fontId="0" fillId="13" borderId="14" xfId="0" applyFill="1" applyBorder="1"/>
    <xf numFmtId="0" fontId="0" fillId="13" borderId="49" xfId="0" applyFill="1" applyBorder="1"/>
    <xf numFmtId="42" fontId="25" fillId="13" borderId="44" xfId="2" applyNumberFormat="1" applyFont="1" applyFill="1" applyBorder="1" applyAlignment="1">
      <alignment horizontal="center" vertical="center"/>
    </xf>
    <xf numFmtId="42" fontId="25" fillId="13" borderId="48" xfId="2" applyNumberFormat="1" applyFont="1" applyFill="1" applyBorder="1" applyAlignment="1">
      <alignment horizontal="center" vertical="center"/>
    </xf>
    <xf numFmtId="42" fontId="25" fillId="13" borderId="45" xfId="2" applyNumberFormat="1" applyFont="1" applyFill="1" applyBorder="1" applyAlignment="1">
      <alignment horizontal="center" vertical="center"/>
    </xf>
    <xf numFmtId="42" fontId="25" fillId="13" borderId="49" xfId="2" applyNumberFormat="1" applyFont="1" applyFill="1" applyBorder="1" applyAlignment="1">
      <alignment horizontal="center" vertical="center"/>
    </xf>
    <xf numFmtId="42" fontId="25" fillId="13" borderId="46" xfId="2" applyNumberFormat="1" applyFont="1" applyFill="1" applyBorder="1" applyAlignment="1">
      <alignment horizontal="center" vertical="center"/>
    </xf>
    <xf numFmtId="42" fontId="25" fillId="13" borderId="51" xfId="2" applyNumberFormat="1" applyFont="1" applyFill="1" applyBorder="1" applyAlignment="1">
      <alignment horizontal="center" vertical="center"/>
    </xf>
    <xf numFmtId="42" fontId="25" fillId="13" borderId="50" xfId="2" applyNumberFormat="1" applyFont="1" applyFill="1" applyBorder="1" applyAlignment="1">
      <alignment horizontal="center" vertical="center"/>
    </xf>
    <xf numFmtId="165" fontId="25" fillId="13" borderId="44" xfId="5" applyNumberFormat="1" applyFont="1" applyFill="1" applyBorder="1" applyAlignment="1">
      <alignment horizontal="center" vertical="center"/>
    </xf>
    <xf numFmtId="165" fontId="25" fillId="13" borderId="48" xfId="5" applyNumberFormat="1" applyFont="1" applyFill="1" applyBorder="1" applyAlignment="1">
      <alignment horizontal="center" vertical="center"/>
    </xf>
    <xf numFmtId="42" fontId="25" fillId="13" borderId="47" xfId="2" applyNumberFormat="1" applyFont="1" applyFill="1" applyBorder="1" applyAlignment="1">
      <alignment horizontal="center" vertical="center"/>
    </xf>
    <xf numFmtId="42" fontId="25" fillId="13" borderId="14" xfId="2" applyNumberFormat="1" applyFont="1" applyFill="1" applyBorder="1" applyAlignment="1">
      <alignment horizontal="center" vertical="center"/>
    </xf>
    <xf numFmtId="165" fontId="25" fillId="13" borderId="45" xfId="5" applyNumberFormat="1" applyFont="1" applyFill="1" applyBorder="1" applyAlignment="1">
      <alignment horizontal="center" vertical="center"/>
    </xf>
    <xf numFmtId="165" fontId="25" fillId="13" borderId="49" xfId="5" applyNumberFormat="1" applyFont="1" applyFill="1" applyBorder="1" applyAlignment="1">
      <alignment horizontal="center" vertical="center"/>
    </xf>
    <xf numFmtId="165" fontId="25" fillId="13" borderId="46" xfId="5" applyNumberFormat="1" applyFont="1" applyFill="1" applyBorder="1" applyAlignment="1">
      <alignment horizontal="center" vertical="center"/>
    </xf>
    <xf numFmtId="165" fontId="25" fillId="13" borderId="51" xfId="5" applyNumberFormat="1" applyFont="1" applyFill="1" applyBorder="1" applyAlignment="1">
      <alignment horizontal="center" vertical="center"/>
    </xf>
    <xf numFmtId="42" fontId="25" fillId="13" borderId="46" xfId="5" applyNumberFormat="1" applyFont="1" applyFill="1" applyBorder="1" applyAlignment="1">
      <alignment horizontal="right" indent="1"/>
    </xf>
    <xf numFmtId="42" fontId="25" fillId="13" borderId="51" xfId="5" applyNumberFormat="1" applyFont="1" applyFill="1" applyBorder="1" applyAlignment="1">
      <alignment horizontal="right" indent="1"/>
    </xf>
    <xf numFmtId="42" fontId="25" fillId="15" borderId="83" xfId="2" applyNumberFormat="1" applyFont="1" applyFill="1" applyBorder="1" applyAlignment="1">
      <alignment horizontal="right"/>
    </xf>
    <xf numFmtId="42" fontId="25" fillId="15" borderId="7" xfId="2" applyNumberFormat="1" applyFont="1" applyFill="1" applyBorder="1" applyAlignment="1">
      <alignment horizontal="right"/>
    </xf>
    <xf numFmtId="42" fontId="25" fillId="15" borderId="89" xfId="2" applyNumberFormat="1" applyFont="1" applyFill="1" applyBorder="1" applyAlignment="1">
      <alignment horizontal="right"/>
    </xf>
    <xf numFmtId="0" fontId="0" fillId="17" borderId="87" xfId="0" applyFill="1" applyBorder="1" applyAlignment="1">
      <alignment horizontal="center"/>
    </xf>
    <xf numFmtId="0" fontId="0" fillId="17" borderId="88" xfId="0" applyFill="1" applyBorder="1" applyAlignment="1">
      <alignment horizontal="center"/>
    </xf>
    <xf numFmtId="0" fontId="0" fillId="17" borderId="62" xfId="0" applyFill="1" applyBorder="1" applyAlignment="1">
      <alignment horizontal="center"/>
    </xf>
    <xf numFmtId="42" fontId="25" fillId="13" borderId="64" xfId="2" applyNumberFormat="1" applyFont="1" applyFill="1" applyBorder="1" applyAlignment="1">
      <alignment horizontal="center" vertical="center"/>
    </xf>
    <xf numFmtId="42" fontId="25" fillId="13" borderId="66" xfId="2" applyNumberFormat="1" applyFont="1" applyFill="1" applyBorder="1" applyAlignment="1">
      <alignment horizontal="center" vertical="center"/>
    </xf>
    <xf numFmtId="42" fontId="25" fillId="13" borderId="92" xfId="2" applyNumberFormat="1" applyFont="1" applyFill="1" applyBorder="1" applyAlignment="1">
      <alignment horizontal="center" vertical="center"/>
    </xf>
    <xf numFmtId="165" fontId="25" fillId="13" borderId="46" xfId="5" applyNumberFormat="1" applyFont="1" applyFill="1" applyBorder="1" applyAlignment="1">
      <alignment horizontal="center"/>
    </xf>
    <xf numFmtId="165" fontId="25" fillId="13" borderId="51" xfId="5" applyNumberFormat="1" applyFont="1" applyFill="1" applyBorder="1" applyAlignment="1">
      <alignment horizontal="center"/>
    </xf>
    <xf numFmtId="169" fontId="0" fillId="13" borderId="80" xfId="0" applyNumberFormat="1" applyFill="1" applyBorder="1"/>
    <xf numFmtId="169" fontId="0" fillId="13" borderId="85" xfId="0" applyNumberFormat="1" applyFill="1" applyBorder="1"/>
    <xf numFmtId="169" fontId="0" fillId="13" borderId="48" xfId="0" applyNumberFormat="1" applyFill="1" applyBorder="1"/>
    <xf numFmtId="169" fontId="0" fillId="13" borderId="49" xfId="0" applyNumberFormat="1" applyFill="1" applyBorder="1"/>
    <xf numFmtId="169" fontId="0" fillId="13" borderId="17" xfId="0" applyNumberFormat="1" applyFill="1" applyBorder="1"/>
    <xf numFmtId="165" fontId="25" fillId="13" borderId="17" xfId="5" applyNumberFormat="1" applyFont="1" applyFill="1" applyBorder="1" applyAlignment="1"/>
    <xf numFmtId="169" fontId="0" fillId="13" borderId="43" xfId="0" applyNumberFormat="1" applyFill="1" applyBorder="1"/>
    <xf numFmtId="165" fontId="25" fillId="13" borderId="80" xfId="5" applyNumberFormat="1" applyFont="1" applyFill="1" applyBorder="1" applyAlignment="1"/>
    <xf numFmtId="169" fontId="0" fillId="13" borderId="51" xfId="0" applyNumberFormat="1" applyFill="1" applyBorder="1"/>
    <xf numFmtId="169" fontId="0" fillId="13" borderId="82" xfId="0" applyNumberFormat="1" applyFill="1" applyBorder="1"/>
    <xf numFmtId="165" fontId="25" fillId="13" borderId="82" xfId="5" applyNumberFormat="1" applyFont="1" applyFill="1" applyBorder="1" applyAlignment="1"/>
    <xf numFmtId="169" fontId="0" fillId="13" borderId="67" xfId="0" applyNumberFormat="1" applyFill="1" applyBorder="1"/>
    <xf numFmtId="42" fontId="25" fillId="15" borderId="76" xfId="2" applyNumberFormat="1" applyFont="1" applyFill="1" applyBorder="1" applyAlignment="1">
      <alignment horizontal="right"/>
    </xf>
    <xf numFmtId="42" fontId="25" fillId="15" borderId="45" xfId="2" applyNumberFormat="1" applyFont="1" applyFill="1" applyBorder="1" applyAlignment="1">
      <alignment horizontal="right"/>
    </xf>
    <xf numFmtId="42" fontId="25" fillId="15" borderId="14" xfId="2" applyNumberFormat="1" applyFont="1" applyFill="1" applyBorder="1" applyAlignment="1">
      <alignment horizontal="right"/>
    </xf>
    <xf numFmtId="42" fontId="25" fillId="15" borderId="49" xfId="2" applyNumberFormat="1" applyFont="1" applyFill="1" applyBorder="1" applyAlignment="1">
      <alignment horizontal="right"/>
    </xf>
    <xf numFmtId="42" fontId="2" fillId="15" borderId="45" xfId="2" applyNumberFormat="1" applyFont="1" applyFill="1" applyBorder="1"/>
    <xf numFmtId="42" fontId="2" fillId="15" borderId="14" xfId="2" applyNumberFormat="1" applyFont="1" applyFill="1" applyBorder="1"/>
    <xf numFmtId="42" fontId="2" fillId="15" borderId="49" xfId="2" applyNumberFormat="1" applyFont="1" applyFill="1" applyBorder="1"/>
    <xf numFmtId="172" fontId="37" fillId="12" borderId="52" xfId="2" applyNumberFormat="1" applyFont="1" applyFill="1" applyBorder="1" applyAlignment="1">
      <alignment horizontal="center"/>
    </xf>
    <xf numFmtId="42" fontId="25" fillId="15" borderId="45" xfId="2" applyNumberFormat="1" applyFont="1" applyFill="1" applyBorder="1" applyAlignment="1"/>
    <xf numFmtId="42" fontId="25" fillId="15" borderId="14" xfId="2" applyNumberFormat="1" applyFont="1" applyFill="1" applyBorder="1" applyAlignment="1"/>
    <xf numFmtId="42" fontId="25" fillId="15" borderId="49" xfId="2" applyNumberFormat="1" applyFont="1" applyFill="1" applyBorder="1" applyAlignment="1"/>
    <xf numFmtId="42" fontId="25" fillId="13" borderId="17" xfId="2" applyNumberFormat="1" applyFont="1" applyFill="1" applyBorder="1"/>
    <xf numFmtId="42" fontId="25" fillId="13" borderId="43" xfId="2" applyNumberFormat="1" applyFont="1" applyFill="1" applyBorder="1"/>
    <xf numFmtId="0" fontId="0" fillId="17" borderId="108" xfId="0" applyFill="1" applyBorder="1" applyAlignment="1">
      <alignment horizontal="center"/>
    </xf>
    <xf numFmtId="0" fontId="0" fillId="17" borderId="109" xfId="0" applyFill="1" applyBorder="1" applyAlignment="1">
      <alignment horizontal="center"/>
    </xf>
    <xf numFmtId="0" fontId="0" fillId="17" borderId="111" xfId="0" applyFill="1" applyBorder="1" applyAlignment="1">
      <alignment horizontal="center"/>
    </xf>
    <xf numFmtId="0" fontId="0" fillId="14" borderId="111" xfId="0" applyFill="1" applyBorder="1" applyAlignment="1">
      <alignment horizontal="center"/>
    </xf>
    <xf numFmtId="0" fontId="0" fillId="14" borderId="9" xfId="0" applyFill="1" applyBorder="1" applyAlignment="1">
      <alignment horizontal="center"/>
    </xf>
    <xf numFmtId="0" fontId="0" fillId="14" borderId="60" xfId="0" applyFill="1" applyBorder="1" applyAlignment="1">
      <alignment horizontal="center"/>
    </xf>
    <xf numFmtId="0" fontId="0" fillId="14" borderId="10" xfId="0" applyFill="1" applyBorder="1" applyAlignment="1">
      <alignment horizontal="center"/>
    </xf>
    <xf numFmtId="0" fontId="0" fillId="14" borderId="110" xfId="0" applyFill="1" applyBorder="1" applyAlignment="1">
      <alignment horizontal="center"/>
    </xf>
    <xf numFmtId="42" fontId="25" fillId="13" borderId="80" xfId="2" applyNumberFormat="1" applyFont="1" applyFill="1" applyBorder="1" applyAlignment="1">
      <alignment horizontal="center" vertical="center"/>
    </xf>
    <xf numFmtId="42" fontId="25" fillId="13" borderId="85" xfId="2" applyNumberFormat="1" applyFont="1" applyFill="1" applyBorder="1" applyAlignment="1">
      <alignment horizontal="center" vertical="center"/>
    </xf>
    <xf numFmtId="42" fontId="25" fillId="13" borderId="17" xfId="2" applyNumberFormat="1" applyFont="1" applyFill="1" applyBorder="1" applyAlignment="1">
      <alignment horizontal="center" vertical="center"/>
    </xf>
    <xf numFmtId="42" fontId="25" fillId="13" borderId="43" xfId="2" applyNumberFormat="1" applyFont="1" applyFill="1" applyBorder="1" applyAlignment="1">
      <alignment horizontal="center" vertical="center"/>
    </xf>
    <xf numFmtId="42" fontId="25" fillId="13" borderId="82" xfId="2" applyNumberFormat="1" applyFont="1" applyFill="1" applyBorder="1" applyAlignment="1">
      <alignment horizontal="center" vertical="center"/>
    </xf>
    <xf numFmtId="42" fontId="25" fillId="13" borderId="67" xfId="2" applyNumberFormat="1" applyFont="1" applyFill="1" applyBorder="1" applyAlignment="1">
      <alignment horizontal="center" vertical="center"/>
    </xf>
    <xf numFmtId="165" fontId="25" fillId="13" borderId="82" xfId="5" applyNumberFormat="1" applyFont="1" applyFill="1" applyBorder="1" applyAlignment="1">
      <alignment horizontal="center" vertical="center"/>
    </xf>
    <xf numFmtId="42" fontId="25" fillId="13" borderId="77" xfId="2" applyNumberFormat="1" applyFont="1" applyFill="1" applyBorder="1" applyAlignment="1" applyProtection="1">
      <alignment horizontal="right" vertical="center"/>
    </xf>
    <xf numFmtId="42" fontId="25" fillId="13" borderId="17" xfId="2" applyNumberFormat="1" applyFont="1" applyFill="1" applyBorder="1" applyAlignment="1" applyProtection="1">
      <alignment horizontal="right" vertical="center"/>
    </xf>
    <xf numFmtId="42" fontId="25" fillId="13" borderId="86" xfId="2" applyNumberFormat="1" applyFont="1" applyFill="1" applyBorder="1" applyAlignment="1" applyProtection="1">
      <alignment horizontal="right" vertical="center"/>
    </xf>
    <xf numFmtId="42" fontId="25" fillId="13" borderId="82" xfId="2" applyNumberFormat="1" applyFont="1" applyFill="1" applyBorder="1" applyAlignment="1" applyProtection="1">
      <alignment horizontal="right" vertical="center"/>
    </xf>
    <xf numFmtId="165" fontId="25" fillId="13" borderId="17" xfId="5" applyNumberFormat="1" applyFont="1" applyFill="1" applyBorder="1" applyAlignment="1">
      <alignment horizontal="center" vertical="center"/>
    </xf>
    <xf numFmtId="42" fontId="25" fillId="13" borderId="79" xfId="2" applyNumberFormat="1" applyFont="1" applyFill="1" applyBorder="1" applyAlignment="1" applyProtection="1">
      <alignment horizontal="right" vertical="center"/>
    </xf>
    <xf numFmtId="42" fontId="25" fillId="13" borderId="80" xfId="2" applyNumberFormat="1" applyFont="1" applyFill="1" applyBorder="1" applyAlignment="1" applyProtection="1">
      <alignment horizontal="right" vertical="center"/>
    </xf>
    <xf numFmtId="165" fontId="25" fillId="13" borderId="80" xfId="5" applyNumberFormat="1" applyFont="1" applyFill="1" applyBorder="1" applyAlignment="1">
      <alignment horizontal="center" vertical="center"/>
    </xf>
    <xf numFmtId="0" fontId="4" fillId="12" borderId="52" xfId="0" applyFont="1" applyFill="1" applyBorder="1" applyAlignment="1">
      <alignment horizontal="left" vertical="top" wrapText="1"/>
    </xf>
    <xf numFmtId="14" fontId="32" fillId="12" borderId="60" xfId="0" applyNumberFormat="1" applyFont="1" applyFill="1" applyBorder="1" applyAlignment="1">
      <alignment horizontal="right"/>
    </xf>
    <xf numFmtId="0" fontId="27" fillId="14" borderId="94" xfId="0" applyFont="1" applyFill="1" applyBorder="1" applyAlignment="1">
      <alignment horizontal="center" vertical="center" wrapText="1"/>
    </xf>
    <xf numFmtId="0" fontId="27" fillId="14" borderId="60" xfId="0" applyFont="1" applyFill="1" applyBorder="1" applyAlignment="1">
      <alignment horizontal="center" vertical="center" wrapText="1"/>
    </xf>
    <xf numFmtId="0" fontId="27" fillId="14" borderId="10" xfId="0" applyFont="1" applyFill="1" applyBorder="1" applyAlignment="1">
      <alignment horizontal="center" vertical="center" wrapText="1"/>
    </xf>
    <xf numFmtId="0" fontId="27" fillId="14" borderId="73" xfId="0" applyFont="1" applyFill="1" applyBorder="1" applyAlignment="1">
      <alignment horizontal="center" vertical="center" wrapText="1"/>
    </xf>
    <xf numFmtId="0" fontId="27" fillId="14" borderId="16"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12" xfId="0" applyFont="1" applyFill="1" applyBorder="1" applyAlignment="1">
      <alignment horizontal="center" vertical="center" wrapText="1"/>
    </xf>
    <xf numFmtId="2" fontId="0" fillId="13" borderId="45" xfId="0" applyNumberFormat="1" applyFill="1" applyBorder="1" applyAlignment="1" applyProtection="1">
      <alignment horizontal="center"/>
      <protection locked="0"/>
    </xf>
    <xf numFmtId="2" fontId="0" fillId="13" borderId="14" xfId="0" applyNumberFormat="1" applyFill="1" applyBorder="1" applyAlignment="1" applyProtection="1">
      <alignment horizontal="center"/>
      <protection locked="0"/>
    </xf>
    <xf numFmtId="2" fontId="0" fillId="13" borderId="49" xfId="0" applyNumberFormat="1" applyFill="1" applyBorder="1" applyAlignment="1" applyProtection="1">
      <alignment horizontal="center"/>
      <protection locked="0"/>
    </xf>
    <xf numFmtId="2" fontId="25" fillId="13" borderId="43" xfId="5" applyNumberFormat="1" applyFont="1" applyFill="1" applyBorder="1" applyAlignment="1" applyProtection="1">
      <alignment horizontal="center"/>
      <protection locked="0"/>
    </xf>
    <xf numFmtId="2" fontId="25" fillId="13" borderId="90" xfId="5" applyNumberFormat="1" applyFont="1" applyFill="1" applyBorder="1" applyAlignment="1" applyProtection="1">
      <alignment horizontal="center"/>
      <protection locked="0"/>
    </xf>
    <xf numFmtId="2" fontId="25" fillId="13" borderId="77" xfId="5" applyNumberFormat="1" applyFont="1" applyFill="1" applyBorder="1" applyAlignment="1" applyProtection="1">
      <alignment horizontal="center"/>
      <protection locked="0"/>
    </xf>
    <xf numFmtId="42" fontId="0" fillId="15" borderId="55" xfId="0" applyNumberFormat="1" applyFill="1" applyBorder="1" applyAlignment="1">
      <alignment horizontal="center"/>
    </xf>
    <xf numFmtId="42" fontId="0" fillId="15" borderId="7" xfId="0" applyNumberFormat="1" applyFill="1" applyBorder="1" applyAlignment="1">
      <alignment horizontal="center"/>
    </xf>
    <xf numFmtId="42" fontId="0" fillId="15" borderId="56" xfId="0" applyNumberFormat="1" applyFill="1" applyBorder="1" applyAlignment="1">
      <alignment horizontal="center"/>
    </xf>
    <xf numFmtId="0" fontId="27" fillId="14" borderId="45" xfId="0" applyFont="1" applyFill="1" applyBorder="1" applyAlignment="1">
      <alignment horizontal="left" vertical="center" indent="1"/>
    </xf>
    <xf numFmtId="0" fontId="27" fillId="14" borderId="14" xfId="0" applyFont="1" applyFill="1" applyBorder="1" applyAlignment="1">
      <alignment horizontal="left" vertical="center" indent="1"/>
    </xf>
    <xf numFmtId="0" fontId="27" fillId="14" borderId="49" xfId="0" applyFont="1" applyFill="1" applyBorder="1" applyAlignment="1">
      <alignment horizontal="left" vertical="center" indent="1"/>
    </xf>
    <xf numFmtId="0" fontId="27" fillId="14" borderId="45" xfId="0" applyFont="1" applyFill="1" applyBorder="1" applyAlignment="1">
      <alignment horizontal="left" vertical="center" wrapText="1" indent="1"/>
    </xf>
    <xf numFmtId="0" fontId="27" fillId="14" borderId="14" xfId="0" applyFont="1" applyFill="1" applyBorder="1" applyAlignment="1">
      <alignment horizontal="left" vertical="center" wrapText="1" indent="1"/>
    </xf>
    <xf numFmtId="0" fontId="27" fillId="14" borderId="49" xfId="0" applyFont="1" applyFill="1" applyBorder="1" applyAlignment="1">
      <alignment horizontal="left" vertical="center" wrapText="1" indent="1"/>
    </xf>
    <xf numFmtId="1" fontId="0" fillId="13" borderId="45" xfId="0" quotePrefix="1" applyNumberFormat="1" applyFill="1" applyBorder="1" applyAlignment="1">
      <alignment horizontal="center"/>
    </xf>
    <xf numFmtId="1" fontId="0" fillId="13" borderId="14" xfId="0" quotePrefix="1" applyNumberFormat="1" applyFill="1" applyBorder="1" applyAlignment="1">
      <alignment horizontal="center"/>
    </xf>
    <xf numFmtId="1" fontId="0" fillId="13" borderId="49" xfId="0" quotePrefix="1" applyNumberFormat="1" applyFill="1" applyBorder="1" applyAlignment="1">
      <alignment horizontal="center"/>
    </xf>
    <xf numFmtId="2" fontId="25" fillId="13" borderId="45" xfId="5" applyNumberFormat="1" applyFont="1" applyFill="1" applyBorder="1" applyAlignment="1" applyProtection="1">
      <alignment horizontal="center"/>
      <protection locked="0"/>
    </xf>
    <xf numFmtId="2" fontId="25" fillId="13" borderId="14" xfId="5" applyNumberFormat="1" applyFont="1" applyFill="1" applyBorder="1" applyAlignment="1" applyProtection="1">
      <alignment horizontal="center"/>
      <protection locked="0"/>
    </xf>
    <xf numFmtId="2" fontId="25" fillId="13" borderId="66" xfId="5" applyNumberFormat="1" applyFont="1" applyFill="1" applyBorder="1" applyAlignment="1" applyProtection="1">
      <alignment horizontal="center"/>
      <protection locked="0"/>
    </xf>
    <xf numFmtId="49" fontId="0" fillId="13" borderId="65" xfId="0" applyNumberFormat="1" applyFill="1" applyBorder="1" applyAlignment="1">
      <alignment horizontal="left" indent="1"/>
    </xf>
    <xf numFmtId="49" fontId="0" fillId="13" borderId="14" xfId="0" applyNumberFormat="1" applyFill="1" applyBorder="1" applyAlignment="1">
      <alignment horizontal="left" indent="1"/>
    </xf>
    <xf numFmtId="49" fontId="0" fillId="13" borderId="49" xfId="0" applyNumberFormat="1" applyFill="1" applyBorder="1" applyAlignment="1">
      <alignment horizontal="left" indent="1"/>
    </xf>
    <xf numFmtId="0" fontId="0" fillId="13" borderId="45" xfId="0" applyFill="1" applyBorder="1" applyAlignment="1" applyProtection="1">
      <alignment horizontal="center"/>
      <protection locked="0"/>
    </xf>
    <xf numFmtId="0" fontId="0" fillId="13" borderId="14" xfId="0" applyFill="1" applyBorder="1" applyAlignment="1" applyProtection="1">
      <alignment horizontal="center"/>
      <protection locked="0"/>
    </xf>
    <xf numFmtId="0" fontId="0" fillId="13" borderId="49" xfId="0" applyFill="1" applyBorder="1" applyAlignment="1" applyProtection="1">
      <alignment horizontal="center"/>
      <protection locked="0"/>
    </xf>
    <xf numFmtId="0" fontId="27" fillId="14" borderId="95" xfId="0" applyFont="1" applyFill="1" applyBorder="1" applyAlignment="1">
      <alignment horizontal="center" vertical="center" wrapText="1"/>
    </xf>
    <xf numFmtId="0" fontId="27" fillId="14" borderId="11" xfId="0" applyFont="1" applyFill="1" applyBorder="1" applyAlignment="1">
      <alignment horizontal="center" vertical="center" wrapText="1"/>
    </xf>
    <xf numFmtId="0" fontId="27" fillId="14" borderId="74" xfId="0" applyFont="1" applyFill="1" applyBorder="1" applyAlignment="1">
      <alignment horizontal="center" vertical="center" wrapText="1"/>
    </xf>
    <xf numFmtId="42" fontId="0" fillId="13" borderId="65" xfId="0" applyNumberFormat="1" applyFill="1" applyBorder="1" applyAlignment="1">
      <alignment horizontal="right" indent="1"/>
    </xf>
    <xf numFmtId="49" fontId="0" fillId="13" borderId="84" xfId="0" applyNumberFormat="1" applyFill="1" applyBorder="1" applyAlignment="1">
      <alignment horizontal="left" indent="1"/>
    </xf>
    <xf numFmtId="49" fontId="0" fillId="13" borderId="50" xfId="0" applyNumberFormat="1" applyFill="1" applyBorder="1" applyAlignment="1">
      <alignment horizontal="left" indent="1"/>
    </xf>
    <xf numFmtId="49" fontId="0" fillId="13" borderId="51" xfId="0" applyNumberFormat="1" applyFill="1" applyBorder="1" applyAlignment="1">
      <alignment horizontal="left" indent="1"/>
    </xf>
    <xf numFmtId="42" fontId="0" fillId="13" borderId="84" xfId="0" applyNumberFormat="1" applyFill="1" applyBorder="1" applyAlignment="1">
      <alignment horizontal="right" indent="1"/>
    </xf>
    <xf numFmtId="2" fontId="0" fillId="13" borderId="46" xfId="0" applyNumberFormat="1" applyFill="1" applyBorder="1" applyAlignment="1" applyProtection="1">
      <alignment horizontal="center"/>
      <protection locked="0"/>
    </xf>
    <xf numFmtId="2" fontId="0" fillId="13" borderId="50" xfId="0" applyNumberFormat="1" applyFill="1" applyBorder="1" applyAlignment="1" applyProtection="1">
      <alignment horizontal="center"/>
      <protection locked="0"/>
    </xf>
    <xf numFmtId="2" fontId="0" fillId="13" borderId="51" xfId="0" applyNumberFormat="1" applyFill="1" applyBorder="1" applyAlignment="1" applyProtection="1">
      <alignment horizontal="center"/>
      <protection locked="0"/>
    </xf>
    <xf numFmtId="2" fontId="25" fillId="13" borderId="46" xfId="5" applyNumberFormat="1" applyFont="1" applyFill="1" applyBorder="1" applyAlignment="1" applyProtection="1">
      <alignment horizontal="center"/>
      <protection locked="0"/>
    </xf>
    <xf numFmtId="2" fontId="25" fillId="13" borderId="50" xfId="5" applyNumberFormat="1" applyFont="1" applyFill="1" applyBorder="1" applyAlignment="1" applyProtection="1">
      <alignment horizontal="center"/>
      <protection locked="0"/>
    </xf>
    <xf numFmtId="2" fontId="25" fillId="13" borderId="92" xfId="5" applyNumberFormat="1" applyFont="1" applyFill="1" applyBorder="1" applyAlignment="1" applyProtection="1">
      <alignment horizontal="center"/>
      <protection locked="0"/>
    </xf>
    <xf numFmtId="0" fontId="0" fillId="13" borderId="46" xfId="0" applyFill="1" applyBorder="1" applyAlignment="1" applyProtection="1">
      <alignment horizontal="center"/>
      <protection locked="0"/>
    </xf>
    <xf numFmtId="0" fontId="0" fillId="13" borderId="50" xfId="0" applyFill="1" applyBorder="1" applyAlignment="1" applyProtection="1">
      <alignment horizontal="center"/>
      <protection locked="0"/>
    </xf>
    <xf numFmtId="0" fontId="0" fillId="13" borderId="51" xfId="0" applyFill="1" applyBorder="1" applyAlignment="1" applyProtection="1">
      <alignment horizontal="center"/>
      <protection locked="0"/>
    </xf>
    <xf numFmtId="0" fontId="27" fillId="14" borderId="1" xfId="0" applyFont="1" applyFill="1" applyBorder="1" applyAlignment="1">
      <alignment horizontal="left" vertical="center" indent="1"/>
    </xf>
    <xf numFmtId="0" fontId="27" fillId="14" borderId="2" xfId="0" applyFont="1" applyFill="1" applyBorder="1" applyAlignment="1">
      <alignment horizontal="left" vertical="center" indent="1"/>
    </xf>
    <xf numFmtId="0" fontId="27" fillId="14" borderId="3" xfId="0" applyFont="1" applyFill="1" applyBorder="1" applyAlignment="1">
      <alignment horizontal="left" vertical="center" indent="1"/>
    </xf>
    <xf numFmtId="0" fontId="27" fillId="14" borderId="13" xfId="0" applyFont="1" applyFill="1" applyBorder="1" applyAlignment="1">
      <alignment horizontal="left" vertical="center" indent="1"/>
    </xf>
    <xf numFmtId="0" fontId="27" fillId="14" borderId="52" xfId="0" applyFont="1" applyFill="1" applyBorder="1" applyAlignment="1">
      <alignment horizontal="left" vertical="center" indent="1"/>
    </xf>
    <xf numFmtId="0" fontId="27" fillId="14" borderId="15" xfId="0" applyFont="1" applyFill="1" applyBorder="1" applyAlignment="1">
      <alignment horizontal="left" vertical="center" indent="1"/>
    </xf>
    <xf numFmtId="42" fontId="0" fillId="13" borderId="9" xfId="0" applyNumberFormat="1" applyFill="1" applyBorder="1" applyAlignment="1">
      <alignment vertical="center"/>
    </xf>
    <xf numFmtId="42" fontId="0" fillId="13" borderId="60" xfId="0" applyNumberFormat="1" applyFill="1" applyBorder="1" applyAlignment="1">
      <alignment vertical="center"/>
    </xf>
    <xf numFmtId="42" fontId="0" fillId="13" borderId="10" xfId="0" applyNumberFormat="1" applyFill="1" applyBorder="1" applyAlignment="1">
      <alignment vertical="center"/>
    </xf>
    <xf numFmtId="42" fontId="0" fillId="13" borderId="53" xfId="0" applyNumberFormat="1" applyFill="1" applyBorder="1" applyAlignment="1">
      <alignment vertical="center"/>
    </xf>
    <xf numFmtId="42" fontId="0" fillId="13" borderId="52" xfId="0" applyNumberFormat="1" applyFill="1" applyBorder="1" applyAlignment="1">
      <alignment vertical="center"/>
    </xf>
    <xf numFmtId="42" fontId="0" fillId="13" borderId="54" xfId="0" applyNumberFormat="1" applyFill="1" applyBorder="1" applyAlignment="1">
      <alignment vertical="center"/>
    </xf>
    <xf numFmtId="42" fontId="0" fillId="13" borderId="41" xfId="0" applyNumberFormat="1" applyFill="1" applyBorder="1" applyAlignment="1">
      <alignment vertical="center"/>
    </xf>
    <xf numFmtId="42" fontId="0" fillId="13" borderId="2" xfId="0" applyNumberFormat="1" applyFill="1" applyBorder="1" applyAlignment="1">
      <alignment vertical="center"/>
    </xf>
    <xf numFmtId="42" fontId="0" fillId="13" borderId="42" xfId="0" applyNumberFormat="1" applyFill="1" applyBorder="1" applyAlignment="1">
      <alignment vertical="center"/>
    </xf>
    <xf numFmtId="42" fontId="0" fillId="13" borderId="11" xfId="0" applyNumberFormat="1" applyFill="1" applyBorder="1" applyAlignment="1">
      <alignment vertical="center"/>
    </xf>
    <xf numFmtId="42" fontId="0" fillId="13" borderId="16" xfId="0" applyNumberFormat="1" applyFill="1" applyBorder="1" applyAlignment="1">
      <alignment vertical="center"/>
    </xf>
    <xf numFmtId="42" fontId="0" fillId="13" borderId="12" xfId="0" applyNumberFormat="1" applyFill="1" applyBorder="1" applyAlignment="1">
      <alignment vertical="center"/>
    </xf>
    <xf numFmtId="42" fontId="0" fillId="16" borderId="9" xfId="0" applyNumberFormat="1" applyFill="1" applyBorder="1" applyAlignment="1">
      <alignment vertical="center"/>
    </xf>
    <xf numFmtId="42" fontId="0" fillId="16" borderId="60" xfId="0" applyNumberFormat="1" applyFill="1" applyBorder="1" applyAlignment="1">
      <alignment vertical="center"/>
    </xf>
    <xf numFmtId="42" fontId="0" fillId="16" borderId="10" xfId="0" applyNumberFormat="1" applyFill="1" applyBorder="1" applyAlignment="1">
      <alignment vertical="center"/>
    </xf>
    <xf numFmtId="42" fontId="0" fillId="16" borderId="11" xfId="0" applyNumberFormat="1" applyFill="1" applyBorder="1" applyAlignment="1">
      <alignment vertical="center"/>
    </xf>
    <xf numFmtId="42" fontId="0" fillId="16" borderId="16" xfId="0" applyNumberFormat="1" applyFill="1" applyBorder="1" applyAlignment="1">
      <alignment vertical="center"/>
    </xf>
    <xf numFmtId="42" fontId="0" fillId="16" borderId="12" xfId="0" applyNumberFormat="1" applyFill="1" applyBorder="1" applyAlignment="1">
      <alignment vertical="center"/>
    </xf>
    <xf numFmtId="0" fontId="30" fillId="12" borderId="0" xfId="0" applyFont="1" applyFill="1" applyAlignment="1">
      <alignment horizontal="left" vertical="center"/>
    </xf>
    <xf numFmtId="42" fontId="0" fillId="13" borderId="39" xfId="0" applyNumberFormat="1" applyFill="1" applyBorder="1" applyAlignment="1">
      <alignment vertical="center"/>
    </xf>
    <xf numFmtId="42" fontId="0" fillId="13" borderId="0" xfId="0" applyNumberFormat="1" applyFill="1" applyAlignment="1">
      <alignment vertical="center"/>
    </xf>
    <xf numFmtId="42" fontId="0" fillId="13" borderId="40" xfId="0" applyNumberFormat="1" applyFill="1" applyBorder="1" applyAlignment="1">
      <alignment vertical="center"/>
    </xf>
    <xf numFmtId="0" fontId="27" fillId="14" borderId="45" xfId="0" applyFont="1" applyFill="1" applyBorder="1" applyAlignment="1">
      <alignment horizontal="left" indent="1"/>
    </xf>
    <xf numFmtId="0" fontId="27" fillId="14" borderId="14" xfId="0" applyFont="1" applyFill="1" applyBorder="1" applyAlignment="1">
      <alignment horizontal="left" indent="1"/>
    </xf>
    <xf numFmtId="0" fontId="27" fillId="14" borderId="49" xfId="0" applyFont="1" applyFill="1" applyBorder="1" applyAlignment="1">
      <alignment horizontal="left" indent="1"/>
    </xf>
    <xf numFmtId="42" fontId="0" fillId="13" borderId="77" xfId="0" applyNumberFormat="1" applyFill="1" applyBorder="1"/>
    <xf numFmtId="42" fontId="0" fillId="15" borderId="55" xfId="0" applyNumberFormat="1" applyFill="1" applyBorder="1"/>
    <xf numFmtId="42" fontId="0" fillId="15" borderId="7" xfId="0" applyNumberFormat="1" applyFill="1" applyBorder="1"/>
    <xf numFmtId="42" fontId="0" fillId="15" borderId="56" xfId="0" applyNumberFormat="1" applyFill="1" applyBorder="1"/>
    <xf numFmtId="0" fontId="27" fillId="14" borderId="4" xfId="0" applyFont="1" applyFill="1" applyBorder="1" applyAlignment="1">
      <alignment horizontal="left" vertical="center" indent="1"/>
    </xf>
    <xf numFmtId="0" fontId="27" fillId="14" borderId="0" xfId="0" applyFont="1" applyFill="1" applyAlignment="1">
      <alignment horizontal="left" vertical="center" indent="1"/>
    </xf>
    <xf numFmtId="0" fontId="27" fillId="14" borderId="5" xfId="0" applyFont="1" applyFill="1" applyBorder="1" applyAlignment="1">
      <alignment horizontal="left" vertical="center" indent="1"/>
    </xf>
    <xf numFmtId="42" fontId="0" fillId="13" borderId="77" xfId="0" applyNumberFormat="1" applyFill="1" applyBorder="1" applyAlignment="1">
      <alignment vertical="center"/>
    </xf>
    <xf numFmtId="42" fontId="0" fillId="13" borderId="17" xfId="0" applyNumberFormat="1" applyFill="1" applyBorder="1" applyAlignment="1">
      <alignment vertical="center"/>
    </xf>
    <xf numFmtId="42" fontId="0" fillId="13" borderId="43" xfId="0" applyNumberFormat="1" applyFill="1" applyBorder="1" applyAlignment="1">
      <alignment vertical="center"/>
    </xf>
    <xf numFmtId="42" fontId="0" fillId="13" borderId="45" xfId="0" applyNumberFormat="1" applyFill="1" applyBorder="1"/>
    <xf numFmtId="42" fontId="0" fillId="13" borderId="14" xfId="0" applyNumberFormat="1" applyFill="1" applyBorder="1"/>
    <xf numFmtId="0" fontId="0" fillId="13" borderId="45" xfId="0" applyFill="1" applyBorder="1" applyAlignment="1">
      <alignment horizontal="center" vertical="center"/>
    </xf>
    <xf numFmtId="0" fontId="0" fillId="13" borderId="14" xfId="0" applyFill="1" applyBorder="1" applyAlignment="1">
      <alignment horizontal="center" vertical="center"/>
    </xf>
    <xf numFmtId="0" fontId="0" fillId="13" borderId="49" xfId="0" applyFill="1" applyBorder="1" applyAlignment="1">
      <alignment horizontal="center" vertical="center"/>
    </xf>
    <xf numFmtId="42" fontId="25" fillId="13" borderId="63" xfId="2" applyNumberFormat="1" applyFont="1" applyFill="1" applyBorder="1" applyAlignment="1">
      <alignment horizontal="center"/>
    </xf>
    <xf numFmtId="42" fontId="25" fillId="13" borderId="47" xfId="2" applyNumberFormat="1" applyFont="1" applyFill="1" applyBorder="1" applyAlignment="1">
      <alignment horizontal="center"/>
    </xf>
    <xf numFmtId="42" fontId="25" fillId="13" borderId="64" xfId="2" applyNumberFormat="1" applyFont="1" applyFill="1" applyBorder="1" applyAlignment="1">
      <alignment horizontal="center"/>
    </xf>
    <xf numFmtId="42" fontId="0" fillId="13" borderId="86" xfId="0" applyNumberFormat="1" applyFill="1" applyBorder="1"/>
    <xf numFmtId="0" fontId="27" fillId="14" borderId="63" xfId="0" applyFont="1" applyFill="1" applyBorder="1" applyAlignment="1">
      <alignment horizontal="center" vertical="center" wrapText="1"/>
    </xf>
    <xf numFmtId="0" fontId="27" fillId="14" borderId="47" xfId="0" applyFont="1" applyFill="1" applyBorder="1" applyAlignment="1">
      <alignment horizontal="center" vertical="center" wrapText="1"/>
    </xf>
    <xf numFmtId="0" fontId="27" fillId="14" borderId="64" xfId="0" applyFont="1" applyFill="1" applyBorder="1" applyAlignment="1">
      <alignment horizontal="center" vertical="center" wrapText="1"/>
    </xf>
    <xf numFmtId="42" fontId="0" fillId="13" borderId="65" xfId="0" applyNumberFormat="1" applyFill="1" applyBorder="1"/>
    <xf numFmtId="42" fontId="0" fillId="13" borderId="66" xfId="0" applyNumberFormat="1" applyFill="1" applyBorder="1"/>
    <xf numFmtId="42" fontId="0" fillId="13" borderId="84" xfId="0" applyNumberFormat="1" applyFill="1" applyBorder="1"/>
    <xf numFmtId="42" fontId="0" fillId="13" borderId="50" xfId="0" applyNumberFormat="1" applyFill="1" applyBorder="1"/>
    <xf numFmtId="42" fontId="0" fillId="13" borderId="92" xfId="0" applyNumberFormat="1" applyFill="1" applyBorder="1"/>
    <xf numFmtId="42" fontId="0" fillId="13" borderId="79" xfId="0" applyNumberFormat="1" applyFill="1" applyBorder="1"/>
    <xf numFmtId="2" fontId="0" fillId="13" borderId="44" xfId="0" applyNumberFormat="1" applyFill="1" applyBorder="1" applyAlignment="1" applyProtection="1">
      <alignment horizontal="center"/>
      <protection locked="0"/>
    </xf>
    <xf numFmtId="2" fontId="0" fillId="13" borderId="47" xfId="0" applyNumberFormat="1" applyFill="1" applyBorder="1" applyAlignment="1" applyProtection="1">
      <alignment horizontal="center"/>
      <protection locked="0"/>
    </xf>
    <xf numFmtId="2" fontId="0" fillId="13" borderId="48" xfId="0" applyNumberFormat="1" applyFill="1" applyBorder="1" applyAlignment="1" applyProtection="1">
      <alignment horizontal="center"/>
      <protection locked="0"/>
    </xf>
    <xf numFmtId="2" fontId="25" fillId="13" borderId="44" xfId="5" applyNumberFormat="1" applyFont="1" applyFill="1" applyBorder="1" applyAlignment="1" applyProtection="1">
      <alignment horizontal="center"/>
      <protection locked="0"/>
    </xf>
    <xf numFmtId="2" fontId="25" fillId="13" borderId="47" xfId="5" applyNumberFormat="1" applyFont="1" applyFill="1" applyBorder="1" applyAlignment="1" applyProtection="1">
      <alignment horizontal="center"/>
      <protection locked="0"/>
    </xf>
    <xf numFmtId="2" fontId="25" fillId="13" borderId="64" xfId="5" applyNumberFormat="1" applyFont="1" applyFill="1" applyBorder="1" applyAlignment="1" applyProtection="1">
      <alignment horizontal="center"/>
      <protection locked="0"/>
    </xf>
    <xf numFmtId="42" fontId="0" fillId="13" borderId="63" xfId="0" applyNumberFormat="1" applyFill="1" applyBorder="1" applyAlignment="1">
      <alignment horizontal="right" indent="1"/>
    </xf>
    <xf numFmtId="49" fontId="0" fillId="13" borderId="63" xfId="0" applyNumberFormat="1" applyFill="1" applyBorder="1" applyAlignment="1">
      <alignment horizontal="left" indent="1"/>
    </xf>
    <xf numFmtId="49" fontId="0" fillId="13" borderId="47" xfId="0" applyNumberFormat="1" applyFill="1" applyBorder="1" applyAlignment="1">
      <alignment horizontal="left" indent="1"/>
    </xf>
    <xf numFmtId="49" fontId="0" fillId="13" borderId="48" xfId="0" applyNumberFormat="1" applyFill="1" applyBorder="1" applyAlignment="1">
      <alignment horizontal="left" indent="1"/>
    </xf>
    <xf numFmtId="0" fontId="0" fillId="13" borderId="44" xfId="0" applyFill="1" applyBorder="1" applyAlignment="1" applyProtection="1">
      <alignment horizontal="center"/>
      <protection locked="0"/>
    </xf>
    <xf numFmtId="0" fontId="0" fillId="13" borderId="47" xfId="0" applyFill="1" applyBorder="1" applyAlignment="1" applyProtection="1">
      <alignment horizontal="center"/>
      <protection locked="0"/>
    </xf>
    <xf numFmtId="0" fontId="0" fillId="13" borderId="48" xfId="0" applyFill="1" applyBorder="1" applyAlignment="1" applyProtection="1">
      <alignment horizontal="center"/>
      <protection locked="0"/>
    </xf>
    <xf numFmtId="14" fontId="32" fillId="12" borderId="60" xfId="0" applyNumberFormat="1" applyFont="1" applyFill="1" applyBorder="1" applyAlignment="1">
      <alignment horizontal="left" vertical="center"/>
    </xf>
    <xf numFmtId="0" fontId="0" fillId="12" borderId="11" xfId="0" applyFill="1" applyBorder="1" applyAlignment="1">
      <alignment horizontal="center" vertical="center"/>
    </xf>
    <xf numFmtId="0" fontId="0" fillId="12" borderId="16" xfId="0" applyFill="1" applyBorder="1" applyAlignment="1">
      <alignment horizontal="center" vertical="center"/>
    </xf>
    <xf numFmtId="0" fontId="0" fillId="12" borderId="12" xfId="0" applyFill="1" applyBorder="1" applyAlignment="1">
      <alignment horizontal="center" vertical="center"/>
    </xf>
    <xf numFmtId="0" fontId="0" fillId="14" borderId="94" xfId="0" applyFill="1" applyBorder="1" applyAlignment="1">
      <alignment horizontal="center" vertical="center"/>
    </xf>
    <xf numFmtId="0" fontId="0" fillId="14" borderId="60" xfId="0" applyFill="1" applyBorder="1" applyAlignment="1">
      <alignment horizontal="center" vertical="center"/>
    </xf>
    <xf numFmtId="0" fontId="0" fillId="14" borderId="95" xfId="0" applyFill="1" applyBorder="1" applyAlignment="1">
      <alignment horizontal="center" vertical="center"/>
    </xf>
    <xf numFmtId="0" fontId="0" fillId="14" borderId="13" xfId="0" applyFill="1" applyBorder="1" applyAlignment="1">
      <alignment horizontal="center" vertical="center"/>
    </xf>
    <xf numFmtId="0" fontId="0" fillId="14" borderId="52" xfId="0" applyFill="1" applyBorder="1" applyAlignment="1">
      <alignment horizontal="center" vertical="center"/>
    </xf>
    <xf numFmtId="0" fontId="0" fillId="14" borderId="15" xfId="0" applyFill="1" applyBorder="1" applyAlignment="1">
      <alignment horizontal="center" vertical="center"/>
    </xf>
    <xf numFmtId="0" fontId="4" fillId="12" borderId="0" xfId="0" applyFont="1" applyFill="1" applyAlignment="1">
      <alignment horizontal="center" vertical="center"/>
    </xf>
    <xf numFmtId="0" fontId="0" fillId="15" borderId="94" xfId="0" applyFill="1" applyBorder="1" applyAlignment="1">
      <alignment horizontal="center" vertical="center"/>
    </xf>
    <xf numFmtId="0" fontId="0" fillId="15" borderId="60" xfId="0" applyFill="1" applyBorder="1" applyAlignment="1">
      <alignment horizontal="center" vertical="center"/>
    </xf>
    <xf numFmtId="0" fontId="0" fillId="15" borderId="95" xfId="0" applyFill="1" applyBorder="1" applyAlignment="1">
      <alignment horizontal="center" vertical="center"/>
    </xf>
    <xf numFmtId="0" fontId="0" fillId="15" borderId="13" xfId="0" applyFill="1" applyBorder="1" applyAlignment="1">
      <alignment horizontal="center" vertical="center"/>
    </xf>
    <xf numFmtId="0" fontId="0" fillId="15" borderId="52" xfId="0" applyFill="1" applyBorder="1" applyAlignment="1">
      <alignment horizontal="center" vertical="center"/>
    </xf>
    <xf numFmtId="0" fontId="0" fillId="15" borderId="15" xfId="0" applyFill="1" applyBorder="1" applyAlignment="1">
      <alignment horizontal="center" vertical="center"/>
    </xf>
    <xf numFmtId="168" fontId="0" fillId="12" borderId="52" xfId="0" applyNumberFormat="1" applyFill="1" applyBorder="1"/>
    <xf numFmtId="171" fontId="0" fillId="13" borderId="45" xfId="0" applyNumberFormat="1" applyFill="1" applyBorder="1"/>
    <xf numFmtId="171" fontId="0" fillId="13" borderId="14" xfId="0" applyNumberFormat="1" applyFill="1" applyBorder="1"/>
    <xf numFmtId="171" fontId="0" fillId="13" borderId="49" xfId="0" applyNumberFormat="1" applyFill="1" applyBorder="1"/>
    <xf numFmtId="168" fontId="29" fillId="12" borderId="52" xfId="0" applyNumberFormat="1" applyFont="1" applyFill="1" applyBorder="1"/>
    <xf numFmtId="171" fontId="29" fillId="15" borderId="45" xfId="0" applyNumberFormat="1" applyFont="1" applyFill="1" applyBorder="1"/>
    <xf numFmtId="171" fontId="29" fillId="15" borderId="14" xfId="0" applyNumberFormat="1" applyFont="1" applyFill="1" applyBorder="1"/>
    <xf numFmtId="171" fontId="29" fillId="15" borderId="49" xfId="0" applyNumberFormat="1" applyFont="1" applyFill="1" applyBorder="1"/>
    <xf numFmtId="168" fontId="0" fillId="12" borderId="14" xfId="0" applyNumberFormat="1" applyFill="1" applyBorder="1"/>
    <xf numFmtId="171" fontId="0" fillId="13" borderId="13" xfId="0" applyNumberFormat="1" applyFill="1" applyBorder="1"/>
    <xf numFmtId="171" fontId="0" fillId="13" borderId="52" xfId="0" applyNumberFormat="1" applyFill="1" applyBorder="1"/>
    <xf numFmtId="171" fontId="0" fillId="13" borderId="15" xfId="0" applyNumberFormat="1" applyFill="1" applyBorder="1"/>
    <xf numFmtId="168" fontId="29" fillId="12" borderId="14" xfId="0" applyNumberFormat="1" applyFont="1" applyFill="1" applyBorder="1"/>
    <xf numFmtId="171" fontId="0" fillId="15" borderId="45" xfId="0" applyNumberFormat="1" applyFill="1" applyBorder="1" applyAlignment="1">
      <alignment vertical="center"/>
    </xf>
    <xf numFmtId="171" fontId="0" fillId="15" borderId="14" xfId="0" applyNumberFormat="1" applyFill="1" applyBorder="1" applyAlignment="1">
      <alignment vertical="center"/>
    </xf>
    <xf numFmtId="171" fontId="0" fillId="15" borderId="49" xfId="0" applyNumberFormat="1" applyFill="1" applyBorder="1" applyAlignment="1">
      <alignment vertical="center"/>
    </xf>
    <xf numFmtId="42" fontId="38" fillId="16" borderId="45" xfId="0" applyNumberFormat="1" applyFont="1" applyFill="1" applyBorder="1" applyAlignment="1">
      <alignment vertical="center"/>
    </xf>
    <xf numFmtId="42" fontId="38" fillId="16" borderId="14" xfId="0" applyNumberFormat="1" applyFont="1" applyFill="1" applyBorder="1" applyAlignment="1">
      <alignment vertical="center"/>
    </xf>
    <xf numFmtId="42" fontId="38" fillId="16" borderId="49" xfId="0" applyNumberFormat="1" applyFont="1" applyFill="1" applyBorder="1" applyAlignment="1">
      <alignment vertical="center"/>
    </xf>
    <xf numFmtId="171" fontId="0" fillId="15" borderId="45" xfId="0" applyNumberFormat="1" applyFill="1" applyBorder="1"/>
    <xf numFmtId="171" fontId="0" fillId="15" borderId="14" xfId="0" applyNumberFormat="1" applyFill="1" applyBorder="1"/>
    <xf numFmtId="171" fontId="0" fillId="15" borderId="49" xfId="0" applyNumberFormat="1" applyFill="1" applyBorder="1"/>
    <xf numFmtId="171" fontId="29" fillId="15" borderId="45" xfId="0" applyNumberFormat="1" applyFont="1" applyFill="1" applyBorder="1" applyAlignment="1">
      <alignment vertical="center"/>
    </xf>
    <xf numFmtId="171" fontId="29" fillId="15" borderId="14" xfId="0" applyNumberFormat="1" applyFont="1" applyFill="1" applyBorder="1" applyAlignment="1">
      <alignment vertical="center"/>
    </xf>
    <xf numFmtId="171" fontId="29" fillId="15" borderId="49" xfId="0" applyNumberFormat="1" applyFont="1" applyFill="1" applyBorder="1" applyAlignment="1">
      <alignment vertical="center"/>
    </xf>
    <xf numFmtId="0" fontId="4" fillId="12" borderId="0" xfId="0" applyFont="1" applyFill="1"/>
    <xf numFmtId="0" fontId="4" fillId="12" borderId="0" xfId="0" applyFont="1" applyFill="1" applyAlignment="1">
      <alignment horizontal="left" wrapText="1"/>
    </xf>
    <xf numFmtId="167" fontId="0" fillId="10" borderId="49" xfId="0" applyNumberFormat="1" applyFill="1" applyBorder="1" applyAlignment="1">
      <alignment horizontal="center"/>
    </xf>
    <xf numFmtId="167" fontId="0" fillId="10" borderId="17" xfId="0" applyNumberFormat="1" applyFill="1" applyBorder="1" applyAlignment="1">
      <alignment horizontal="center"/>
    </xf>
    <xf numFmtId="0" fontId="0" fillId="10" borderId="65" xfId="0" applyFill="1" applyBorder="1" applyAlignment="1">
      <alignment horizontal="left" indent="1"/>
    </xf>
    <xf numFmtId="0" fontId="0" fillId="10" borderId="14" xfId="0" applyFill="1" applyBorder="1" applyAlignment="1">
      <alignment horizontal="left" indent="1"/>
    </xf>
    <xf numFmtId="0" fontId="0" fillId="10" borderId="66" xfId="0" applyFill="1" applyBorder="1" applyAlignment="1">
      <alignment horizontal="left" indent="1"/>
    </xf>
    <xf numFmtId="0" fontId="0" fillId="10" borderId="84" xfId="0" applyFill="1" applyBorder="1" applyAlignment="1">
      <alignment horizontal="left" indent="1"/>
    </xf>
    <xf numFmtId="0" fontId="0" fillId="10" borderId="50" xfId="0" applyFill="1" applyBorder="1" applyAlignment="1">
      <alignment horizontal="left" indent="1"/>
    </xf>
    <xf numFmtId="0" fontId="0" fillId="10" borderId="92" xfId="0" applyFill="1" applyBorder="1" applyAlignment="1">
      <alignment horizontal="left" indent="1"/>
    </xf>
    <xf numFmtId="0" fontId="0" fillId="10" borderId="63" xfId="0" applyFill="1" applyBorder="1" applyAlignment="1">
      <alignment horizontal="center"/>
    </xf>
    <xf numFmtId="0" fontId="0" fillId="10" borderId="47" xfId="0" applyFill="1" applyBorder="1" applyAlignment="1">
      <alignment horizontal="center"/>
    </xf>
    <xf numFmtId="0" fontId="0" fillId="10" borderId="64" xfId="0" applyFill="1" applyBorder="1" applyAlignment="1">
      <alignment horizontal="center"/>
    </xf>
    <xf numFmtId="0" fontId="27" fillId="10" borderId="75" xfId="0" applyFont="1" applyFill="1" applyBorder="1" applyAlignment="1">
      <alignment horizontal="center"/>
    </xf>
    <xf numFmtId="0" fontId="27" fillId="10" borderId="76" xfId="0" applyFont="1" applyFill="1" applyBorder="1" applyAlignment="1">
      <alignment horizontal="center"/>
    </xf>
    <xf numFmtId="0" fontId="27" fillId="10" borderId="81" xfId="0" applyFont="1" applyFill="1" applyBorder="1" applyAlignment="1">
      <alignment horizontal="center"/>
    </xf>
    <xf numFmtId="0" fontId="27" fillId="10" borderId="89" xfId="0" applyFont="1" applyFill="1" applyBorder="1" applyAlignment="1">
      <alignment horizontal="center"/>
    </xf>
    <xf numFmtId="167" fontId="0" fillId="0" borderId="45" xfId="0" applyNumberFormat="1" applyBorder="1" applyAlignment="1" applyProtection="1">
      <alignment horizontal="center"/>
      <protection locked="0"/>
    </xf>
    <xf numFmtId="167" fontId="0" fillId="0" borderId="49" xfId="0" applyNumberFormat="1" applyBorder="1" applyAlignment="1" applyProtection="1">
      <alignment horizontal="center"/>
      <protection locked="0"/>
    </xf>
    <xf numFmtId="170" fontId="0" fillId="13" borderId="45" xfId="0" applyNumberFormat="1" applyFill="1" applyBorder="1" applyAlignment="1">
      <alignment horizontal="center"/>
    </xf>
    <xf numFmtId="170" fontId="0" fillId="13" borderId="66" xfId="0" applyNumberFormat="1" applyFill="1" applyBorder="1" applyAlignment="1">
      <alignment horizontal="center"/>
    </xf>
    <xf numFmtId="167" fontId="0" fillId="10" borderId="50" xfId="0" applyNumberFormat="1" applyFill="1" applyBorder="1" applyAlignment="1">
      <alignment horizontal="center"/>
    </xf>
    <xf numFmtId="167" fontId="0" fillId="10" borderId="51" xfId="0" applyNumberFormat="1" applyFill="1" applyBorder="1" applyAlignment="1">
      <alignment horizontal="center"/>
    </xf>
    <xf numFmtId="167" fontId="0" fillId="0" borderId="46" xfId="0" applyNumberFormat="1" applyBorder="1" applyAlignment="1" applyProtection="1">
      <alignment horizontal="center"/>
      <protection locked="0"/>
    </xf>
    <xf numFmtId="167" fontId="0" fillId="0" borderId="51" xfId="0" applyNumberFormat="1" applyBorder="1" applyAlignment="1" applyProtection="1">
      <alignment horizontal="center"/>
      <protection locked="0"/>
    </xf>
    <xf numFmtId="170" fontId="0" fillId="13" borderId="46" xfId="0" applyNumberFormat="1" applyFill="1" applyBorder="1" applyAlignment="1">
      <alignment horizontal="center"/>
    </xf>
    <xf numFmtId="170" fontId="0" fillId="13" borderId="92" xfId="0" applyNumberFormat="1" applyFill="1" applyBorder="1" applyAlignment="1">
      <alignment horizontal="center"/>
    </xf>
    <xf numFmtId="167" fontId="0" fillId="10" borderId="14" xfId="0" applyNumberFormat="1" applyFill="1" applyBorder="1" applyAlignment="1">
      <alignment horizontal="center"/>
    </xf>
    <xf numFmtId="0" fontId="0" fillId="10" borderId="13" xfId="0" applyFill="1" applyBorder="1" applyAlignment="1">
      <alignment horizontal="center"/>
    </xf>
    <xf numFmtId="0" fontId="0" fillId="10" borderId="54" xfId="0" applyFill="1" applyBorder="1" applyAlignment="1">
      <alignment horizontal="center"/>
    </xf>
    <xf numFmtId="0" fontId="0" fillId="10" borderId="15" xfId="0" applyFill="1" applyBorder="1" applyAlignment="1">
      <alignment horizontal="center"/>
    </xf>
    <xf numFmtId="0" fontId="0" fillId="10" borderId="52" xfId="0" applyFill="1" applyBorder="1" applyAlignment="1">
      <alignment horizontal="center"/>
    </xf>
    <xf numFmtId="0" fontId="0" fillId="0" borderId="0" xfId="0" applyAlignment="1">
      <alignment horizontal="left" vertical="top" wrapText="1"/>
    </xf>
    <xf numFmtId="0" fontId="0" fillId="12" borderId="0" xfId="0" applyFill="1" applyAlignment="1">
      <alignment horizontal="center" vertical="top"/>
    </xf>
    <xf numFmtId="0" fontId="0" fillId="10" borderId="88" xfId="0" applyFill="1" applyBorder="1" applyAlignment="1">
      <alignment horizontal="center"/>
    </xf>
    <xf numFmtId="167" fontId="0" fillId="0" borderId="17" xfId="0" applyNumberFormat="1" applyBorder="1" applyAlignment="1" applyProtection="1">
      <alignment horizontal="center"/>
      <protection locked="0"/>
    </xf>
    <xf numFmtId="167" fontId="0" fillId="0" borderId="82" xfId="0" applyNumberFormat="1" applyBorder="1" applyAlignment="1" applyProtection="1">
      <alignment horizontal="center"/>
      <protection locked="0"/>
    </xf>
    <xf numFmtId="167" fontId="0" fillId="10" borderId="82" xfId="0" applyNumberFormat="1" applyFill="1" applyBorder="1" applyAlignment="1">
      <alignment horizontal="center"/>
    </xf>
    <xf numFmtId="0" fontId="0" fillId="10" borderId="87" xfId="0" applyFill="1" applyBorder="1" applyAlignment="1">
      <alignment horizontal="center"/>
    </xf>
    <xf numFmtId="167" fontId="0" fillId="10" borderId="77" xfId="0" applyNumberFormat="1" applyFill="1" applyBorder="1" applyAlignment="1">
      <alignment horizontal="center"/>
    </xf>
    <xf numFmtId="167" fontId="0" fillId="10" borderId="86" xfId="0" applyNumberFormat="1" applyFill="1" applyBorder="1" applyAlignment="1">
      <alignment horizontal="center"/>
    </xf>
    <xf numFmtId="0" fontId="4" fillId="12" borderId="0" xfId="0" applyFont="1" applyFill="1" applyAlignment="1">
      <alignment horizontal="left"/>
    </xf>
    <xf numFmtId="14" fontId="32" fillId="12" borderId="60" xfId="0" applyNumberFormat="1" applyFont="1" applyFill="1" applyBorder="1" applyAlignment="1">
      <alignment horizontal="left"/>
    </xf>
    <xf numFmtId="0" fontId="32" fillId="12" borderId="60" xfId="0" applyFont="1" applyFill="1" applyBorder="1" applyAlignment="1">
      <alignment horizontal="left"/>
    </xf>
    <xf numFmtId="0" fontId="32" fillId="12" borderId="10" xfId="0" applyFont="1" applyFill="1" applyBorder="1" applyAlignment="1">
      <alignment horizontal="left"/>
    </xf>
    <xf numFmtId="0" fontId="27" fillId="14" borderId="45" xfId="0" applyFont="1" applyFill="1" applyBorder="1" applyAlignment="1">
      <alignment horizontal="left" wrapText="1" indent="1"/>
    </xf>
    <xf numFmtId="0" fontId="27" fillId="14" borderId="14" xfId="0" applyFont="1" applyFill="1" applyBorder="1" applyAlignment="1">
      <alignment horizontal="left" wrapText="1" indent="1"/>
    </xf>
    <xf numFmtId="0" fontId="27" fillId="14" borderId="49" xfId="0" applyFont="1" applyFill="1" applyBorder="1" applyAlignment="1">
      <alignment horizontal="left" wrapText="1" indent="1"/>
    </xf>
    <xf numFmtId="0" fontId="0" fillId="13" borderId="66" xfId="0" applyFill="1" applyBorder="1" applyAlignment="1" applyProtection="1">
      <alignment horizontal="center"/>
      <protection locked="0"/>
    </xf>
    <xf numFmtId="44" fontId="0" fillId="13" borderId="65" xfId="0" applyNumberFormat="1" applyFill="1" applyBorder="1" applyAlignment="1">
      <alignment horizontal="right" indent="1"/>
    </xf>
    <xf numFmtId="44" fontId="0" fillId="13" borderId="14" xfId="0" applyNumberFormat="1" applyFill="1" applyBorder="1" applyAlignment="1">
      <alignment horizontal="right" indent="1"/>
    </xf>
    <xf numFmtId="44" fontId="0" fillId="13" borderId="66" xfId="0" applyNumberFormat="1" applyFill="1" applyBorder="1" applyAlignment="1">
      <alignment horizontal="right" indent="1"/>
    </xf>
    <xf numFmtId="0" fontId="27" fillId="14" borderId="17" xfId="0" applyFont="1" applyFill="1" applyBorder="1" applyAlignment="1">
      <alignment horizontal="left" vertical="center" indent="1"/>
    </xf>
    <xf numFmtId="42" fontId="0" fillId="13" borderId="53" xfId="0" applyNumberFormat="1" applyFill="1" applyBorder="1"/>
    <xf numFmtId="42" fontId="0" fillId="13" borderId="52" xfId="0" applyNumberFormat="1" applyFill="1" applyBorder="1"/>
    <xf numFmtId="42" fontId="0" fillId="13" borderId="54" xfId="0" applyNumberFormat="1" applyFill="1" applyBorder="1"/>
    <xf numFmtId="42" fontId="0" fillId="13" borderId="84" xfId="0" applyNumberFormat="1" applyFill="1" applyBorder="1" applyAlignment="1">
      <alignment horizontal="center"/>
    </xf>
    <xf numFmtId="42" fontId="0" fillId="13" borderId="50" xfId="0" applyNumberFormat="1" applyFill="1" applyBorder="1" applyAlignment="1">
      <alignment horizontal="center"/>
    </xf>
    <xf numFmtId="42" fontId="0" fillId="13" borderId="92" xfId="0" applyNumberFormat="1" applyFill="1" applyBorder="1" applyAlignment="1">
      <alignment horizontal="center"/>
    </xf>
    <xf numFmtId="42" fontId="0" fillId="13" borderId="63" xfId="0" applyNumberFormat="1" applyFill="1" applyBorder="1" applyAlignment="1">
      <alignment horizontal="center"/>
    </xf>
    <xf numFmtId="42" fontId="0" fillId="13" borderId="47" xfId="0" applyNumberFormat="1" applyFill="1" applyBorder="1" applyAlignment="1">
      <alignment horizontal="center"/>
    </xf>
    <xf numFmtId="42" fontId="0" fillId="13" borderId="64" xfId="0" applyNumberFormat="1" applyFill="1" applyBorder="1" applyAlignment="1">
      <alignment horizontal="center"/>
    </xf>
    <xf numFmtId="0" fontId="0" fillId="14" borderId="45" xfId="0" applyFill="1" applyBorder="1" applyAlignment="1">
      <alignment horizontal="center" vertical="center" wrapText="1"/>
    </xf>
    <xf numFmtId="0" fontId="0" fillId="14" borderId="14" xfId="0" applyFill="1" applyBorder="1" applyAlignment="1">
      <alignment horizontal="center" vertical="center" wrapText="1"/>
    </xf>
    <xf numFmtId="0" fontId="0" fillId="14" borderId="49" xfId="0" applyFill="1" applyBorder="1" applyAlignment="1">
      <alignment horizontal="center" vertical="center" wrapText="1"/>
    </xf>
    <xf numFmtId="0" fontId="0" fillId="13" borderId="92" xfId="0" applyFill="1" applyBorder="1" applyAlignment="1" applyProtection="1">
      <alignment horizontal="center"/>
      <protection locked="0"/>
    </xf>
    <xf numFmtId="44" fontId="0" fillId="13" borderId="84" xfId="0" applyNumberFormat="1" applyFill="1" applyBorder="1" applyAlignment="1">
      <alignment horizontal="right" indent="1"/>
    </xf>
    <xf numFmtId="44" fontId="0" fillId="13" borderId="50" xfId="0" applyNumberFormat="1" applyFill="1" applyBorder="1" applyAlignment="1">
      <alignment horizontal="right" indent="1"/>
    </xf>
    <xf numFmtId="44" fontId="0" fillId="13" borderId="92" xfId="0" applyNumberFormat="1" applyFill="1" applyBorder="1" applyAlignment="1">
      <alignment horizontal="right" indent="1"/>
    </xf>
    <xf numFmtId="42" fontId="25" fillId="13" borderId="41" xfId="2" applyNumberFormat="1" applyFont="1" applyFill="1" applyBorder="1" applyAlignment="1">
      <alignment horizontal="center"/>
    </xf>
    <xf numFmtId="42" fontId="25" fillId="13" borderId="2" xfId="2" applyNumberFormat="1" applyFont="1" applyFill="1" applyBorder="1" applyAlignment="1">
      <alignment horizontal="center"/>
    </xf>
    <xf numFmtId="42" fontId="25" fillId="13" borderId="42" xfId="2" applyNumberFormat="1" applyFont="1" applyFill="1" applyBorder="1" applyAlignment="1">
      <alignment horizontal="center"/>
    </xf>
    <xf numFmtId="0" fontId="0" fillId="13" borderId="64" xfId="0" applyFill="1" applyBorder="1" applyAlignment="1" applyProtection="1">
      <alignment horizontal="center"/>
      <protection locked="0"/>
    </xf>
    <xf numFmtId="44" fontId="0" fillId="13" borderId="63" xfId="0" applyNumberFormat="1" applyFill="1" applyBorder="1" applyAlignment="1">
      <alignment horizontal="right" indent="1"/>
    </xf>
    <xf numFmtId="44" fontId="0" fillId="13" borderId="47" xfId="0" applyNumberFormat="1" applyFill="1" applyBorder="1" applyAlignment="1">
      <alignment horizontal="right" indent="1"/>
    </xf>
    <xf numFmtId="44" fontId="0" fillId="13" borderId="64" xfId="0" applyNumberFormat="1" applyFill="1" applyBorder="1" applyAlignment="1">
      <alignment horizontal="right" indent="1"/>
    </xf>
    <xf numFmtId="14" fontId="4" fillId="12" borderId="0" xfId="0" applyNumberFormat="1" applyFont="1" applyFill="1"/>
    <xf numFmtId="0" fontId="0" fillId="10" borderId="11" xfId="0" applyFill="1" applyBorder="1" applyAlignment="1">
      <alignment horizontal="center" vertical="center"/>
    </xf>
    <xf numFmtId="0" fontId="0" fillId="10" borderId="16" xfId="0" applyFill="1" applyBorder="1" applyAlignment="1">
      <alignment horizontal="center" vertical="center"/>
    </xf>
    <xf numFmtId="0" fontId="0" fillId="10" borderId="12" xfId="0" applyFill="1" applyBorder="1" applyAlignment="1">
      <alignment horizontal="center" vertical="center"/>
    </xf>
    <xf numFmtId="0" fontId="2" fillId="10" borderId="39" xfId="0" applyFont="1" applyFill="1" applyBorder="1" applyAlignment="1">
      <alignment horizontal="center" vertical="center"/>
    </xf>
    <xf numFmtId="0" fontId="2" fillId="10" borderId="0" xfId="0" applyFont="1" applyFill="1" applyAlignment="1">
      <alignment horizontal="center" vertical="center"/>
    </xf>
    <xf numFmtId="0" fontId="2" fillId="10" borderId="40" xfId="0" applyFont="1" applyFill="1" applyBorder="1" applyAlignment="1">
      <alignment horizontal="center" vertical="center"/>
    </xf>
    <xf numFmtId="0" fontId="0" fillId="10" borderId="9" xfId="0" applyFill="1" applyBorder="1" applyAlignment="1">
      <alignment horizontal="center" vertical="center"/>
    </xf>
    <xf numFmtId="0" fontId="0" fillId="10" borderId="60" xfId="0" applyFill="1" applyBorder="1" applyAlignment="1">
      <alignment horizontal="center" vertical="center"/>
    </xf>
    <xf numFmtId="0" fontId="0" fillId="10" borderId="10" xfId="0" applyFill="1" applyBorder="1" applyAlignment="1">
      <alignment horizontal="center" vertical="center"/>
    </xf>
    <xf numFmtId="0" fontId="4" fillId="10" borderId="39" xfId="0" applyFont="1" applyFill="1" applyBorder="1" applyAlignment="1">
      <alignment horizontal="center" vertical="center"/>
    </xf>
    <xf numFmtId="0" fontId="4" fillId="10" borderId="0" xfId="0" applyFont="1" applyFill="1" applyAlignment="1">
      <alignment horizontal="center" vertical="center"/>
    </xf>
    <xf numFmtId="0" fontId="4" fillId="10" borderId="40" xfId="0" applyFont="1" applyFill="1" applyBorder="1" applyAlignment="1">
      <alignment horizontal="center" vertical="center"/>
    </xf>
    <xf numFmtId="0" fontId="17" fillId="0" borderId="0" xfId="4" applyFont="1" applyAlignment="1">
      <alignment horizontal="left" vertical="top" wrapText="1" indent="1"/>
    </xf>
    <xf numFmtId="0" fontId="17" fillId="0" borderId="0" xfId="4" applyFont="1" applyAlignment="1">
      <alignment horizontal="left" vertical="top" wrapText="1" indent="6"/>
    </xf>
    <xf numFmtId="0" fontId="17" fillId="0" borderId="0" xfId="4" applyFont="1" applyAlignment="1">
      <alignment horizontal="left" vertical="top" wrapText="1" indent="5"/>
    </xf>
    <xf numFmtId="0" fontId="17" fillId="0" borderId="0" xfId="4" applyFont="1" applyAlignment="1">
      <alignment horizontal="left" vertical="top" wrapText="1" indent="7"/>
    </xf>
    <xf numFmtId="0" fontId="17" fillId="0" borderId="0" xfId="4" applyFont="1" applyAlignment="1">
      <alignment horizontal="left" vertical="top" wrapText="1" indent="3"/>
    </xf>
    <xf numFmtId="0" fontId="16" fillId="0" borderId="0" xfId="4" applyFont="1" applyAlignment="1">
      <alignment horizontal="left" vertical="top" wrapText="1" indent="3"/>
    </xf>
    <xf numFmtId="0" fontId="15" fillId="0" borderId="0" xfId="4" applyFont="1" applyAlignment="1">
      <alignment horizontal="center" vertical="center"/>
    </xf>
    <xf numFmtId="0" fontId="17" fillId="0" borderId="0" xfId="4" applyFont="1" applyAlignment="1">
      <alignment horizontal="left" vertical="top" wrapText="1" indent="2"/>
    </xf>
    <xf numFmtId="0" fontId="17" fillId="0" borderId="0" xfId="4" applyFont="1" applyAlignment="1">
      <alignment horizontal="left" vertical="top" indent="2"/>
    </xf>
    <xf numFmtId="170" fontId="3" fillId="11" borderId="98" xfId="3" applyNumberFormat="1" applyFill="1" applyBorder="1" applyAlignment="1">
      <alignment horizontal="center"/>
    </xf>
    <xf numFmtId="170" fontId="3" fillId="11" borderId="99" xfId="3" applyNumberFormat="1" applyFill="1" applyBorder="1" applyAlignment="1">
      <alignment horizontal="center"/>
    </xf>
    <xf numFmtId="0" fontId="3" fillId="14" borderId="17" xfId="3" applyFill="1" applyBorder="1" applyAlignment="1">
      <alignment horizontal="center" vertical="center"/>
    </xf>
    <xf numFmtId="0" fontId="4" fillId="6" borderId="0" xfId="3" applyFont="1" applyFill="1" applyAlignment="1">
      <alignment horizontal="center" vertical="center"/>
    </xf>
    <xf numFmtId="0" fontId="4" fillId="6" borderId="0" xfId="3" applyFont="1" applyFill="1" applyAlignment="1">
      <alignment horizontal="center" vertical="center" wrapText="1"/>
    </xf>
    <xf numFmtId="0" fontId="2" fillId="4" borderId="17" xfId="3" applyFont="1" applyFill="1" applyBorder="1" applyAlignment="1">
      <alignment horizontal="center" vertical="center"/>
    </xf>
    <xf numFmtId="165" fontId="0" fillId="3" borderId="17" xfId="0" applyNumberFormat="1" applyFill="1" applyBorder="1" applyAlignment="1">
      <alignment horizontal="center" vertical="center"/>
    </xf>
    <xf numFmtId="0" fontId="0" fillId="14" borderId="45" xfId="0" applyFill="1" applyBorder="1" applyAlignment="1">
      <alignment horizontal="center" wrapText="1"/>
    </xf>
    <xf numFmtId="0" fontId="0" fillId="14" borderId="14" xfId="0" applyFill="1" applyBorder="1" applyAlignment="1">
      <alignment horizontal="center" wrapText="1"/>
    </xf>
    <xf numFmtId="0" fontId="0" fillId="14" borderId="49" xfId="0" applyFill="1" applyBorder="1" applyAlignment="1">
      <alignment horizontal="center" wrapText="1"/>
    </xf>
    <xf numFmtId="1" fontId="7" fillId="9" borderId="1" xfId="3" applyNumberFormat="1" applyFont="1" applyFill="1" applyBorder="1" applyAlignment="1">
      <alignment horizontal="center" vertical="center"/>
    </xf>
    <xf numFmtId="1" fontId="7" fillId="9" borderId="2" xfId="3" applyNumberFormat="1" applyFont="1" applyFill="1" applyBorder="1" applyAlignment="1">
      <alignment horizontal="center" vertical="center"/>
    </xf>
    <xf numFmtId="1" fontId="7" fillId="9" borderId="3" xfId="3" applyNumberFormat="1" applyFont="1" applyFill="1" applyBorder="1" applyAlignment="1">
      <alignment horizontal="center" vertical="center"/>
    </xf>
    <xf numFmtId="1" fontId="7" fillId="9" borderId="4" xfId="3" applyNumberFormat="1" applyFont="1" applyFill="1" applyBorder="1" applyAlignment="1">
      <alignment horizontal="center" vertical="center"/>
    </xf>
    <xf numFmtId="1" fontId="7" fillId="9" borderId="0" xfId="3" applyNumberFormat="1" applyFont="1" applyFill="1" applyAlignment="1">
      <alignment horizontal="center" vertical="center"/>
    </xf>
    <xf numFmtId="1" fontId="7" fillId="9" borderId="5" xfId="3" applyNumberFormat="1" applyFont="1" applyFill="1" applyBorder="1" applyAlignment="1">
      <alignment horizontal="center" vertical="center"/>
    </xf>
    <xf numFmtId="1" fontId="7" fillId="9" borderId="96" xfId="3" applyNumberFormat="1" applyFont="1" applyFill="1" applyBorder="1" applyAlignment="1">
      <alignment horizontal="center" vertical="center"/>
    </xf>
    <xf numFmtId="1" fontId="7" fillId="9" borderId="57" xfId="3" applyNumberFormat="1" applyFont="1" applyFill="1" applyBorder="1" applyAlignment="1">
      <alignment horizontal="center" vertical="center"/>
    </xf>
    <xf numFmtId="1" fontId="7" fillId="9" borderId="97" xfId="3" applyNumberFormat="1" applyFont="1" applyFill="1" applyBorder="1" applyAlignment="1">
      <alignment horizontal="center" vertical="center"/>
    </xf>
    <xf numFmtId="17" fontId="3" fillId="3" borderId="17" xfId="3" applyNumberFormat="1" applyFill="1" applyBorder="1" applyAlignment="1">
      <alignment horizontal="center" vertical="center"/>
    </xf>
    <xf numFmtId="0" fontId="3" fillId="3" borderId="17" xfId="3" applyFill="1" applyBorder="1" applyAlignment="1">
      <alignment horizontal="center" vertical="center"/>
    </xf>
    <xf numFmtId="0" fontId="3" fillId="14" borderId="45" xfId="3" applyFill="1" applyBorder="1" applyAlignment="1">
      <alignment horizontal="center" vertical="center"/>
    </xf>
    <xf numFmtId="0" fontId="3" fillId="14" borderId="14" xfId="3" applyFill="1" applyBorder="1" applyAlignment="1">
      <alignment horizontal="center" vertical="center"/>
    </xf>
    <xf numFmtId="0" fontId="3" fillId="14" borderId="49" xfId="3" applyFill="1" applyBorder="1" applyAlignment="1">
      <alignment horizontal="center" vertical="center"/>
    </xf>
    <xf numFmtId="165" fontId="3" fillId="11" borderId="45" xfId="3" applyNumberFormat="1" applyFill="1" applyBorder="1" applyAlignment="1">
      <alignment horizontal="center" vertical="center"/>
    </xf>
    <xf numFmtId="165" fontId="3" fillId="11" borderId="49" xfId="3" applyNumberFormat="1" applyFill="1" applyBorder="1" applyAlignment="1">
      <alignment horizontal="center" vertical="center"/>
    </xf>
    <xf numFmtId="0" fontId="2" fillId="4" borderId="45"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49" xfId="3" applyFont="1" applyFill="1" applyBorder="1" applyAlignment="1">
      <alignment horizontal="center" vertical="center"/>
    </xf>
    <xf numFmtId="165" fontId="3" fillId="9" borderId="45" xfId="3" applyNumberFormat="1" applyFill="1" applyBorder="1" applyAlignment="1">
      <alignment horizontal="center" vertical="center"/>
    </xf>
    <xf numFmtId="165" fontId="3" fillId="9" borderId="49" xfId="3" applyNumberFormat="1" applyFill="1" applyBorder="1" applyAlignment="1">
      <alignment horizontal="center" vertical="center"/>
    </xf>
    <xf numFmtId="165" fontId="0" fillId="9" borderId="17" xfId="0" applyNumberFormat="1" applyFill="1" applyBorder="1" applyAlignment="1">
      <alignment horizontal="center" vertical="center"/>
    </xf>
    <xf numFmtId="0" fontId="6" fillId="5" borderId="18" xfId="3" applyFont="1" applyFill="1" applyBorder="1" applyAlignment="1">
      <alignment horizontal="center" vertical="top" wrapText="1"/>
    </xf>
    <xf numFmtId="0" fontId="7" fillId="5" borderId="0" xfId="3" applyFont="1" applyFill="1" applyAlignment="1">
      <alignment horizontal="center" vertical="top" wrapText="1"/>
    </xf>
    <xf numFmtId="0" fontId="7" fillId="5" borderId="19" xfId="3" applyFont="1" applyFill="1" applyBorder="1" applyAlignment="1">
      <alignment horizontal="center" vertical="top" wrapText="1"/>
    </xf>
    <xf numFmtId="0" fontId="23" fillId="0" borderId="0" xfId="3" applyFont="1" applyAlignment="1">
      <alignment horizontal="center" vertical="center" wrapText="1"/>
    </xf>
    <xf numFmtId="0" fontId="24" fillId="0" borderId="0" xfId="3" applyFont="1" applyAlignment="1">
      <alignment horizontal="center" vertical="center" wrapText="1"/>
    </xf>
    <xf numFmtId="0" fontId="6" fillId="2" borderId="18" xfId="3" applyFont="1" applyFill="1" applyBorder="1" applyAlignment="1">
      <alignment horizontal="center" vertical="top"/>
    </xf>
    <xf numFmtId="0" fontId="7" fillId="2" borderId="0" xfId="3" applyFont="1" applyFill="1" applyAlignment="1">
      <alignment horizontal="center" vertical="top"/>
    </xf>
    <xf numFmtId="0" fontId="7" fillId="2" borderId="19" xfId="3" applyFont="1" applyFill="1" applyBorder="1" applyAlignment="1">
      <alignment horizontal="center" vertical="top"/>
    </xf>
    <xf numFmtId="0" fontId="2" fillId="2" borderId="18" xfId="3" applyFont="1" applyFill="1" applyBorder="1" applyAlignment="1">
      <alignment horizontal="left" vertical="center" wrapText="1" indent="1"/>
    </xf>
    <xf numFmtId="0" fontId="2" fillId="2" borderId="0" xfId="3" applyFont="1" applyFill="1" applyAlignment="1">
      <alignment horizontal="left" vertical="center" wrapText="1" indent="1"/>
    </xf>
    <xf numFmtId="0" fontId="2" fillId="2" borderId="19" xfId="3" applyFont="1" applyFill="1" applyBorder="1" applyAlignment="1">
      <alignment horizontal="left" vertical="center" wrapText="1" indent="1"/>
    </xf>
    <xf numFmtId="0" fontId="6" fillId="6" borderId="18" xfId="3" applyFont="1" applyFill="1" applyBorder="1" applyAlignment="1">
      <alignment horizontal="center" vertical="top"/>
    </xf>
    <xf numFmtId="0" fontId="6" fillId="6" borderId="0" xfId="3" applyFont="1" applyFill="1" applyAlignment="1">
      <alignment horizontal="center" vertical="top"/>
    </xf>
    <xf numFmtId="0" fontId="6" fillId="6" borderId="19" xfId="3" applyFont="1" applyFill="1" applyBorder="1" applyAlignment="1">
      <alignment horizontal="center" vertical="top"/>
    </xf>
    <xf numFmtId="0" fontId="2" fillId="6" borderId="18" xfId="3" applyFont="1" applyFill="1" applyBorder="1" applyAlignment="1">
      <alignment horizontal="left" vertical="center" wrapText="1" indent="1"/>
    </xf>
    <xf numFmtId="0" fontId="2" fillId="6" borderId="0" xfId="3" applyFont="1" applyFill="1" applyAlignment="1">
      <alignment horizontal="left" vertical="center" wrapText="1" indent="1"/>
    </xf>
    <xf numFmtId="0" fontId="2" fillId="6" borderId="5" xfId="3" applyFont="1" applyFill="1" applyBorder="1" applyAlignment="1">
      <alignment horizontal="left" vertical="center" wrapText="1" indent="1"/>
    </xf>
    <xf numFmtId="166" fontId="2" fillId="11" borderId="100" xfId="3" applyNumberFormat="1" applyFont="1" applyFill="1" applyBorder="1" applyAlignment="1">
      <alignment horizontal="center" vertical="center"/>
    </xf>
    <xf numFmtId="166" fontId="2" fillId="11" borderId="101" xfId="3" applyNumberFormat="1" applyFont="1" applyFill="1" applyBorder="1" applyAlignment="1">
      <alignment horizontal="center" vertical="center"/>
    </xf>
    <xf numFmtId="166" fontId="2" fillId="11" borderId="98" xfId="3" applyNumberFormat="1" applyFont="1" applyFill="1" applyBorder="1" applyAlignment="1">
      <alignment horizontal="center" vertical="center"/>
    </xf>
    <xf numFmtId="166" fontId="2" fillId="11" borderId="99" xfId="3" applyNumberFormat="1" applyFont="1" applyFill="1" applyBorder="1" applyAlignment="1">
      <alignment horizontal="center" vertical="center"/>
    </xf>
    <xf numFmtId="166" fontId="2" fillId="11" borderId="102" xfId="3" applyNumberFormat="1" applyFont="1" applyFill="1" applyBorder="1" applyAlignment="1">
      <alignment horizontal="center" vertical="center"/>
    </xf>
    <xf numFmtId="166" fontId="2" fillId="11" borderId="103" xfId="3" applyNumberFormat="1" applyFont="1" applyFill="1" applyBorder="1" applyAlignment="1">
      <alignment horizontal="center" vertical="center"/>
    </xf>
    <xf numFmtId="0" fontId="2" fillId="6" borderId="18" xfId="3" applyFont="1" applyFill="1" applyBorder="1" applyAlignment="1">
      <alignment horizontal="left" vertical="top" wrapText="1" indent="1"/>
    </xf>
    <xf numFmtId="0" fontId="2" fillId="6" borderId="0" xfId="3" applyFont="1" applyFill="1" applyAlignment="1">
      <alignment horizontal="left" vertical="top" wrapText="1" indent="1"/>
    </xf>
    <xf numFmtId="0" fontId="4" fillId="9" borderId="71" xfId="3" applyFont="1" applyFill="1" applyBorder="1" applyAlignment="1">
      <alignment horizontal="center" vertical="center"/>
    </xf>
    <xf numFmtId="0" fontId="4" fillId="9" borderId="6" xfId="3" applyFont="1" applyFill="1" applyBorder="1" applyAlignment="1">
      <alignment horizontal="center" vertical="center"/>
    </xf>
    <xf numFmtId="0" fontId="4" fillId="9" borderId="88" xfId="3" applyFont="1" applyFill="1" applyBorder="1" applyAlignment="1">
      <alignment horizontal="center" vertical="center"/>
    </xf>
    <xf numFmtId="0" fontId="2" fillId="2" borderId="18" xfId="3" applyFont="1" applyFill="1" applyBorder="1" applyAlignment="1">
      <alignment horizontal="left" vertical="top" wrapText="1" indent="1"/>
    </xf>
    <xf numFmtId="0" fontId="2" fillId="2" borderId="0" xfId="3" applyFont="1" applyFill="1" applyAlignment="1">
      <alignment horizontal="left" vertical="top" wrapText="1" indent="1"/>
    </xf>
    <xf numFmtId="0" fontId="2" fillId="2" borderId="19" xfId="3" applyFont="1" applyFill="1" applyBorder="1" applyAlignment="1">
      <alignment horizontal="left" vertical="top" wrapText="1" indent="1"/>
    </xf>
    <xf numFmtId="0" fontId="6" fillId="2" borderId="18" xfId="3" applyFont="1" applyFill="1" applyBorder="1" applyAlignment="1">
      <alignment horizontal="center" vertical="top" wrapText="1"/>
    </xf>
    <xf numFmtId="0" fontId="7" fillId="2" borderId="0" xfId="3" applyFont="1" applyFill="1" applyAlignment="1">
      <alignment horizontal="center" vertical="top" wrapText="1"/>
    </xf>
    <xf numFmtId="0" fontId="7" fillId="0" borderId="0" xfId="3" applyFont="1" applyAlignment="1">
      <alignment horizontal="center" vertical="top" wrapText="1"/>
    </xf>
    <xf numFmtId="0" fontId="7" fillId="0" borderId="19" xfId="3" applyFont="1" applyBorder="1" applyAlignment="1">
      <alignment horizontal="center" vertical="top" wrapText="1"/>
    </xf>
    <xf numFmtId="165" fontId="3" fillId="9" borderId="17" xfId="3" applyNumberFormat="1" applyFill="1" applyBorder="1" applyAlignment="1">
      <alignment horizontal="center" vertical="center"/>
    </xf>
    <xf numFmtId="0" fontId="0" fillId="5" borderId="0" xfId="0" applyFill="1" applyAlignment="1">
      <alignment horizontal="left" vertical="top" wrapText="1" indent="1"/>
    </xf>
    <xf numFmtId="0" fontId="3" fillId="6" borderId="52" xfId="3" applyFill="1" applyBorder="1" applyAlignment="1">
      <alignment horizontal="center" vertical="center"/>
    </xf>
    <xf numFmtId="165" fontId="3" fillId="3" borderId="17" xfId="3" applyNumberFormat="1" applyFill="1" applyBorder="1" applyAlignment="1">
      <alignment horizontal="center" vertical="center"/>
    </xf>
    <xf numFmtId="10" fontId="3" fillId="6" borderId="52" xfId="3" applyNumberFormat="1" applyFill="1" applyBorder="1" applyAlignment="1">
      <alignment horizontal="center" vertical="center"/>
    </xf>
    <xf numFmtId="0" fontId="0" fillId="14" borderId="45" xfId="0" applyFill="1" applyBorder="1" applyAlignment="1">
      <alignment horizontal="left" wrapText="1" indent="1"/>
    </xf>
    <xf numFmtId="0" fontId="0" fillId="14" borderId="14" xfId="0" applyFill="1" applyBorder="1" applyAlignment="1">
      <alignment horizontal="left" wrapText="1" indent="1"/>
    </xf>
    <xf numFmtId="0" fontId="0" fillId="14" borderId="49" xfId="0" applyFill="1" applyBorder="1" applyAlignment="1">
      <alignment horizontal="left" wrapText="1" indent="1"/>
    </xf>
    <xf numFmtId="0" fontId="2" fillId="14" borderId="17" xfId="3" applyFont="1" applyFill="1" applyBorder="1" applyAlignment="1">
      <alignment horizontal="center" vertical="center"/>
    </xf>
    <xf numFmtId="165" fontId="3" fillId="3" borderId="45" xfId="5" applyNumberFormat="1" applyFont="1" applyFill="1" applyBorder="1" applyAlignment="1" applyProtection="1">
      <alignment horizontal="center" vertical="center"/>
    </xf>
    <xf numFmtId="165" fontId="3" fillId="3" borderId="49" xfId="5" applyNumberFormat="1" applyFont="1" applyFill="1" applyBorder="1" applyAlignment="1" applyProtection="1">
      <alignment horizontal="center" vertical="center"/>
    </xf>
    <xf numFmtId="173" fontId="0" fillId="0" borderId="0" xfId="0" applyNumberFormat="1" applyAlignment="1">
      <alignment vertical="center"/>
    </xf>
    <xf numFmtId="173" fontId="0" fillId="0" borderId="0" xfId="0" applyNumberFormat="1" applyAlignment="1">
      <alignment horizontal="right" vertical="center"/>
    </xf>
    <xf numFmtId="0" fontId="0" fillId="12" borderId="17" xfId="0" applyFill="1" applyBorder="1" applyAlignment="1">
      <alignment horizontal="center" vertical="center" textRotation="90" wrapText="1"/>
    </xf>
    <xf numFmtId="0" fontId="6" fillId="2" borderId="68" xfId="3" applyFont="1" applyFill="1" applyBorder="1" applyAlignment="1">
      <alignment horizontal="center" vertical="center"/>
    </xf>
    <xf numFmtId="0" fontId="6" fillId="2" borderId="69" xfId="3" applyFont="1" applyFill="1" applyBorder="1" applyAlignment="1">
      <alignment horizontal="center" vertical="center"/>
    </xf>
    <xf numFmtId="0" fontId="6" fillId="2" borderId="70" xfId="3" applyFont="1" applyFill="1" applyBorder="1" applyAlignment="1">
      <alignment horizontal="center" vertical="center"/>
    </xf>
    <xf numFmtId="0" fontId="2" fillId="2" borderId="18" xfId="3" applyFont="1" applyFill="1" applyBorder="1" applyAlignment="1">
      <alignment horizontal="center" vertical="top" wrapText="1"/>
    </xf>
    <xf numFmtId="0" fontId="2" fillId="2" borderId="0" xfId="3" applyFont="1" applyFill="1" applyAlignment="1">
      <alignment horizontal="center" vertical="top" wrapText="1"/>
    </xf>
    <xf numFmtId="0" fontId="6" fillId="6" borderId="9" xfId="3" applyFont="1" applyFill="1" applyBorder="1" applyAlignment="1">
      <alignment horizontal="center" vertical="center"/>
    </xf>
    <xf numFmtId="0" fontId="6" fillId="6" borderId="60" xfId="3" applyFont="1" applyFill="1" applyBorder="1" applyAlignment="1">
      <alignment horizontal="center" vertical="center"/>
    </xf>
    <xf numFmtId="0" fontId="6" fillId="6" borderId="10" xfId="3" applyFont="1" applyFill="1" applyBorder="1" applyAlignment="1">
      <alignment horizontal="center" vertic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2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2"/>
      </font>
      <numFmt numFmtId="174" formatCode=";;;"/>
    </dxf>
    <dxf>
      <font>
        <color theme="2"/>
      </font>
      <numFmt numFmtId="174" formatCode=";;;"/>
    </dxf>
    <dxf>
      <font>
        <color theme="2"/>
      </font>
      <numFmt numFmtId="174" formatCode=";;;"/>
    </dxf>
    <dxf>
      <font>
        <color theme="2"/>
      </font>
      <numFmt numFmtId="174" formatCode=";;;"/>
    </dxf>
    <dxf>
      <font>
        <color theme="2"/>
      </font>
      <numFmt numFmtId="174" formatCode=";;;"/>
    </dxf>
    <dxf>
      <font>
        <color theme="8" tint="0.79998168889431442"/>
        <name val="Cambria"/>
        <scheme val="none"/>
      </font>
    </dxf>
    <dxf>
      <font>
        <color theme="2"/>
      </font>
      <numFmt numFmtId="174" formatCode=";;;"/>
    </dxf>
    <dxf>
      <font>
        <color theme="8" tint="0.79998168889431442"/>
      </font>
    </dxf>
    <dxf>
      <font>
        <b/>
        <i val="0"/>
        <color rgb="FFFF0000"/>
      </font>
    </dxf>
    <dxf>
      <font>
        <color theme="0" tint="-4.9989318521683403E-2"/>
      </font>
    </dxf>
    <dxf>
      <font>
        <color theme="8" tint="0.79998168889431442"/>
      </font>
    </dxf>
    <dxf>
      <font>
        <color theme="2"/>
        <name val="Cambria"/>
        <scheme val="none"/>
      </font>
      <numFmt numFmtId="174" formatCode=";;;"/>
    </dxf>
    <dxf>
      <font>
        <color theme="2"/>
      </font>
      <numFmt numFmtId="174" formatCode=";;;"/>
    </dxf>
    <dxf>
      <font>
        <color theme="2"/>
        <name val="Cambria"/>
        <scheme val="none"/>
      </font>
      <numFmt numFmtId="174" formatCode=";;;"/>
    </dxf>
    <dxf>
      <font>
        <color theme="2"/>
      </font>
      <numFmt numFmtId="174" formatCode=";;;"/>
    </dxf>
    <dxf>
      <font>
        <color theme="2"/>
        <name val="Cambria"/>
        <scheme val="none"/>
      </font>
      <numFmt numFmtId="174" formatCode=";;;"/>
    </dxf>
    <dxf>
      <font>
        <color theme="8" tint="0.79998168889431442"/>
        <name val="Cambria"/>
        <scheme val="none"/>
      </font>
    </dxf>
    <dxf>
      <font>
        <color theme="2"/>
        <name val="Cambria"/>
        <scheme val="none"/>
      </font>
    </dxf>
    <dxf>
      <font>
        <color theme="8" tint="0.79998168889431442"/>
        <name val="Cambria"/>
        <scheme val="none"/>
      </font>
    </dxf>
    <dxf>
      <font>
        <b/>
        <i val="0"/>
        <color rgb="FFC00000"/>
      </font>
      <fill>
        <patternFill>
          <bgColor theme="9" tint="0.39994506668294322"/>
        </patternFill>
      </fill>
      <border>
        <left style="thin">
          <color auto="1"/>
        </left>
        <right style="thin">
          <color auto="1"/>
        </right>
        <vertical/>
        <horizontal/>
      </border>
    </dxf>
    <dxf>
      <font>
        <b val="0"/>
        <i val="0"/>
        <color rgb="FFC00000"/>
      </font>
      <numFmt numFmtId="30" formatCode="@"/>
      <fill>
        <patternFill>
          <bgColor theme="9" tint="0.39994506668294322"/>
        </patternFill>
      </fill>
      <border>
        <left style="thin">
          <color auto="1"/>
        </left>
        <right style="thin">
          <color auto="1"/>
        </right>
        <vertical/>
        <horizontal/>
      </border>
    </dxf>
    <dxf>
      <font>
        <color theme="2"/>
      </font>
      <numFmt numFmtId="174" formatCode=";;;"/>
    </dxf>
    <dxf>
      <font>
        <color theme="2"/>
        <name val="Cambria"/>
        <scheme val="none"/>
      </font>
    </dxf>
    <dxf>
      <font>
        <b/>
        <i val="0"/>
        <color rgb="FFFF0000"/>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theme="8" tint="0.79998168889431442"/>
        <name val="Cambria"/>
        <scheme val="none"/>
      </font>
    </dxf>
    <dxf>
      <font>
        <b/>
        <i val="0"/>
        <color rgb="FFC00000"/>
      </font>
      <fill>
        <patternFill>
          <bgColor theme="9" tint="0.39994506668294322"/>
        </patternFill>
      </fill>
    </dxf>
    <dxf>
      <font>
        <b val="0"/>
        <i val="0"/>
        <color rgb="FFC00000"/>
      </font>
      <numFmt numFmtId="30" formatCode="@"/>
      <fill>
        <patternFill>
          <bgColor theme="9" tint="0.39994506668294322"/>
        </patternFill>
      </fill>
      <border>
        <left style="thin">
          <color auto="1"/>
        </left>
        <right style="thin">
          <color auto="1"/>
        </right>
        <vertical/>
        <horizontal/>
      </border>
    </dxf>
    <dxf>
      <font>
        <color theme="2"/>
      </font>
      <numFmt numFmtId="174" formatCode=";;;"/>
    </dxf>
    <dxf>
      <font>
        <color theme="2"/>
        <name val="Cambria"/>
        <scheme val="none"/>
      </font>
    </dxf>
    <dxf>
      <font>
        <b/>
        <i val="0"/>
        <color rgb="FFFF0000"/>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theme="8" tint="0.79998168889431442"/>
        <name val="Cambria"/>
        <scheme val="none"/>
      </font>
    </dxf>
    <dxf>
      <font>
        <b/>
        <i val="0"/>
        <color rgb="FFC00000"/>
      </font>
      <fill>
        <patternFill>
          <bgColor theme="9" tint="0.39994506668294322"/>
        </patternFill>
      </fill>
    </dxf>
    <dxf>
      <font>
        <color rgb="FFC00000"/>
      </font>
      <numFmt numFmtId="30" formatCode="@"/>
      <fill>
        <patternFill>
          <bgColor theme="9" tint="0.39994506668294322"/>
        </patternFill>
      </fill>
      <border>
        <left style="thin">
          <color auto="1"/>
        </left>
        <right style="thin">
          <color auto="1"/>
        </right>
      </border>
    </dxf>
    <dxf>
      <font>
        <color theme="2"/>
      </font>
      <numFmt numFmtId="174" formatCode=";;;"/>
    </dxf>
    <dxf>
      <font>
        <color theme="2"/>
        <name val="Cambria"/>
        <scheme val="none"/>
      </font>
    </dxf>
    <dxf>
      <font>
        <b/>
        <i val="0"/>
        <color rgb="FFFF0000"/>
      </font>
      <fill>
        <patternFill>
          <bgColor theme="9" tint="0.39994506668294322"/>
        </patternFill>
      </fill>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theme="8" tint="0.79998168889431442"/>
        <name val="Cambria"/>
        <scheme val="none"/>
      </font>
    </dxf>
    <dxf>
      <font>
        <b/>
        <i val="0"/>
        <color rgb="FFC00000"/>
      </font>
      <fill>
        <patternFill>
          <bgColor theme="9" tint="0.39994506668294322"/>
        </patternFill>
      </fill>
    </dxf>
    <dxf>
      <font>
        <color rgb="FFC00000"/>
      </font>
      <numFmt numFmtId="30" formatCode="@"/>
      <fill>
        <patternFill>
          <bgColor theme="9" tint="0.39994506668294322"/>
        </patternFill>
      </fill>
      <border>
        <left style="thin">
          <color auto="1"/>
        </left>
        <right style="thin">
          <color auto="1"/>
        </right>
      </border>
    </dxf>
    <dxf>
      <font>
        <color theme="2"/>
      </font>
      <numFmt numFmtId="174" formatCode=";;;"/>
    </dxf>
    <dxf>
      <font>
        <color theme="2"/>
        <name val="Cambria"/>
        <scheme val="none"/>
      </font>
    </dxf>
    <dxf>
      <font>
        <b/>
        <i val="0"/>
        <color rgb="FFFF0000"/>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rgb="FFC00000"/>
      </font>
      <numFmt numFmtId="30" formatCode="@"/>
      <fill>
        <patternFill>
          <bgColor theme="9" tint="0.39994506668294322"/>
        </patternFill>
      </fill>
      <border>
        <left style="thin">
          <color auto="1"/>
        </left>
        <right style="thin">
          <color auto="1"/>
        </right>
      </border>
    </dxf>
    <dxf>
      <font>
        <b/>
        <i val="0"/>
        <color rgb="FFC00000"/>
      </font>
      <fill>
        <patternFill>
          <bgColor theme="9" tint="0.39994506668294322"/>
        </patternFill>
      </fill>
    </dxf>
    <dxf>
      <font>
        <color theme="2"/>
      </font>
      <numFmt numFmtId="174" formatCode=";;;"/>
    </dxf>
    <dxf>
      <font>
        <color theme="8" tint="0.79998168889431442"/>
        <name val="Cambria"/>
        <scheme val="none"/>
      </font>
    </dxf>
    <dxf>
      <font>
        <b/>
        <i val="0"/>
        <color rgb="FFFF0000"/>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theme="2"/>
        <name val="Cambria"/>
        <scheme val="none"/>
      </font>
    </dxf>
    <dxf>
      <font>
        <color theme="8" tint="0.79998168889431442"/>
        <name val="Cambria"/>
        <scheme val="none"/>
      </font>
    </dxf>
    <dxf>
      <font>
        <b/>
        <i val="0"/>
        <color rgb="FFC00000"/>
      </font>
      <fill>
        <patternFill>
          <bgColor theme="9" tint="0.39994506668294322"/>
        </patternFill>
      </fill>
    </dxf>
    <dxf>
      <font>
        <strike val="0"/>
        <color rgb="FFC00000"/>
      </font>
      <numFmt numFmtId="30" formatCode="@"/>
      <fill>
        <patternFill>
          <bgColor theme="9" tint="0.39994506668294322"/>
        </patternFill>
      </fill>
      <border>
        <left style="thin">
          <color auto="1"/>
        </left>
        <right style="thin">
          <color auto="1"/>
        </right>
      </border>
    </dxf>
    <dxf>
      <font>
        <color theme="2"/>
      </font>
      <numFmt numFmtId="174" formatCode=";;;"/>
    </dxf>
    <dxf>
      <font>
        <b/>
        <i val="0"/>
        <color rgb="FFFF0000"/>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color theme="8" tint="0.79998168889431442"/>
        <name val="Cambria"/>
        <scheme val="none"/>
      </font>
    </dxf>
    <dxf>
      <font>
        <b/>
        <i val="0"/>
        <color rgb="FFFF0000"/>
      </font>
    </dxf>
    <dxf>
      <font>
        <color theme="2"/>
      </font>
      <fill>
        <patternFill>
          <bgColor theme="2"/>
        </patternFill>
      </fill>
      <border>
        <left/>
        <right/>
        <top/>
        <bottom/>
        <vertical/>
        <horizontal/>
      </border>
    </dxf>
    <dxf>
      <font>
        <color theme="2"/>
      </font>
      <fill>
        <patternFill>
          <bgColor theme="2"/>
        </patternFill>
      </fill>
      <border>
        <left/>
        <right/>
        <top/>
        <bottom/>
        <vertical/>
        <horizontal/>
      </border>
    </dxf>
    <dxf>
      <font>
        <color theme="4" tint="0.79998168889431442"/>
        <name val="Cambria"/>
        <scheme val="none"/>
      </font>
    </dxf>
  </dxfs>
  <tableStyles count="1" defaultTableStyle="TableStyleMedium9" defaultPivotStyle="PivotStyleLight16">
    <tableStyle name="Invisible" pivot="0" table="0" count="0" xr9:uid="{4A2E5407-4568-4FD4-BB8B-DFE1FAC5E98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Drop-Down_Options'!$E$6" fmlaRange="DropDown_SponsorType" noThreeD="1" sel="1" val="0"/>
</file>

<file path=xl/ctrlProps/ctrlProp10.xml><?xml version="1.0" encoding="utf-8"?>
<formControlPr xmlns="http://schemas.microsoft.com/office/spreadsheetml/2009/9/main" objectType="CheckBox" fmlaLink="Data_Exclude_NonUWSubawards" lockText="1" noThreeD="1"/>
</file>

<file path=xl/ctrlProps/ctrlProp100.xml><?xml version="1.0" encoding="utf-8"?>
<formControlPr xmlns="http://schemas.microsoft.com/office/spreadsheetml/2009/9/main" objectType="Drop" dropStyle="combo" dx="22" fmlaLink="Calc!$E$59" fmlaRange="DropDown_RA_PA" noThreeD="1" sel="1" val="0"/>
</file>

<file path=xl/ctrlProps/ctrlProp101.xml><?xml version="1.0" encoding="utf-8"?>
<formControlPr xmlns="http://schemas.microsoft.com/office/spreadsheetml/2009/9/main" objectType="Drop" dropStyle="combo" dx="22" fmlaLink="Calc!$F$59" fmlaRange="DropDown_RA_PA_LengthAndPercentage" noThreeD="1" sel="4" val="0"/>
</file>

<file path=xl/ctrlProps/ctrlProp102.xml><?xml version="1.0" encoding="utf-8"?>
<formControlPr xmlns="http://schemas.microsoft.com/office/spreadsheetml/2009/9/main" objectType="Drop" dropLines="4" dropStyle="combo" dx="22" fmlaLink="$Y$11" fmlaRange="DropDown_Period" noThreeD="1" sel="1" val="0"/>
</file>

<file path=xl/ctrlProps/ctrlProp103.xml><?xml version="1.0" encoding="utf-8"?>
<formControlPr xmlns="http://schemas.microsoft.com/office/spreadsheetml/2009/9/main" objectType="Drop" dropLines="4" dropStyle="combo" dx="22" fmlaLink="$Y$12" fmlaRange="DropDown_Period" noThreeD="1" sel="1" val="0"/>
</file>

<file path=xl/ctrlProps/ctrlProp104.xml><?xml version="1.0" encoding="utf-8"?>
<formControlPr xmlns="http://schemas.microsoft.com/office/spreadsheetml/2009/9/main" objectType="Drop" dropLines="4" dropStyle="combo" dx="22" fmlaLink="$Y$13" fmlaRange="DropDown_Period" noThreeD="1" sel="1" val="0"/>
</file>

<file path=xl/ctrlProps/ctrlProp105.xml><?xml version="1.0" encoding="utf-8"?>
<formControlPr xmlns="http://schemas.microsoft.com/office/spreadsheetml/2009/9/main" objectType="Drop" dropLines="4" dropStyle="combo" dx="22" fmlaLink="$Y$14" fmlaRange="DropDown_Period" noThreeD="1" sel="1" val="0"/>
</file>

<file path=xl/ctrlProps/ctrlProp106.xml><?xml version="1.0" encoding="utf-8"?>
<formControlPr xmlns="http://schemas.microsoft.com/office/spreadsheetml/2009/9/main" objectType="Drop" dropLines="4" dropStyle="combo" dx="22" fmlaLink="$Y$15" fmlaRange="DropDown_Period" noThreeD="1" sel="1" val="0"/>
</file>

<file path=xl/ctrlProps/ctrlProp107.xml><?xml version="1.0" encoding="utf-8"?>
<formControlPr xmlns="http://schemas.microsoft.com/office/spreadsheetml/2009/9/main" objectType="Drop" dropLines="4" dropStyle="combo" dx="22" fmlaLink="$Y$16" fmlaRange="DropDown_Period" noThreeD="1" sel="1" val="0"/>
</file>

<file path=xl/ctrlProps/ctrlProp108.xml><?xml version="1.0" encoding="utf-8"?>
<formControlPr xmlns="http://schemas.microsoft.com/office/spreadsheetml/2009/9/main" objectType="Drop" dropLines="4" dropStyle="combo" dx="22" fmlaLink="$Y$17" fmlaRange="DropDown_Period" noThreeD="1" sel="1" val="0"/>
</file>

<file path=xl/ctrlProps/ctrlProp109.xml><?xml version="1.0" encoding="utf-8"?>
<formControlPr xmlns="http://schemas.microsoft.com/office/spreadsheetml/2009/9/main" objectType="Drop" dropLines="4" dropStyle="combo" dx="22" fmlaLink="Y$18" fmlaRange="DropDown_Period" noThreeD="1" sel="1" val="0"/>
</file>

<file path=xl/ctrlProps/ctrlProp11.xml><?xml version="1.0" encoding="utf-8"?>
<formControlPr xmlns="http://schemas.microsoft.com/office/spreadsheetml/2009/9/main" objectType="CheckBox" fmlaLink="Data_Exclude_OtherCosts" lockText="1" noThreeD="1"/>
</file>

<file path=xl/ctrlProps/ctrlProp110.xml><?xml version="1.0" encoding="utf-8"?>
<formControlPr xmlns="http://schemas.microsoft.com/office/spreadsheetml/2009/9/main" objectType="Drop" dropLines="4" dropStyle="combo" dx="22" fmlaLink="$Y$19" fmlaRange="DropDown_Period" noThreeD="1" sel="1" val="0"/>
</file>

<file path=xl/ctrlProps/ctrlProp111.xml><?xml version="1.0" encoding="utf-8"?>
<formControlPr xmlns="http://schemas.microsoft.com/office/spreadsheetml/2009/9/main" objectType="Drop" dropLines="4" dropStyle="combo" dx="22" fmlaLink="$Y$20" fmlaRange="DropDown_Period" noThreeD="1" sel="1" val="0"/>
</file>

<file path=xl/ctrlProps/ctrlProp112.xml><?xml version="1.0" encoding="utf-8"?>
<formControlPr xmlns="http://schemas.microsoft.com/office/spreadsheetml/2009/9/main" objectType="Drop" dropLines="4" dropStyle="combo" dx="22" fmlaLink="$Y$21" fmlaRange="DropDown_Period" noThreeD="1" sel="1" val="0"/>
</file>

<file path=xl/ctrlProps/ctrlProp113.xml><?xml version="1.0" encoding="utf-8"?>
<formControlPr xmlns="http://schemas.microsoft.com/office/spreadsheetml/2009/9/main" objectType="Drop" dropLines="4" dropStyle="combo" dx="22" fmlaLink="$Y$22" fmlaRange="DropDown_Period" noThreeD="1" sel="1" val="0"/>
</file>

<file path=xl/ctrlProps/ctrlProp114.xml><?xml version="1.0" encoding="utf-8"?>
<formControlPr xmlns="http://schemas.microsoft.com/office/spreadsheetml/2009/9/main" objectType="Drop" dropLines="4" dropStyle="combo" dx="22" fmlaLink="$Y$23" fmlaRange="DropDown_Period" noThreeD="1" sel="1" val="0"/>
</file>

<file path=xl/ctrlProps/ctrlProp115.xml><?xml version="1.0" encoding="utf-8"?>
<formControlPr xmlns="http://schemas.microsoft.com/office/spreadsheetml/2009/9/main" objectType="Drop" dropLines="4" dropStyle="combo" dx="22" fmlaLink="$Y$24" fmlaRange="DropDown_Period" noThreeD="1" sel="1" val="0"/>
</file>

<file path=xl/ctrlProps/ctrlProp116.xml><?xml version="1.0" encoding="utf-8"?>
<formControlPr xmlns="http://schemas.microsoft.com/office/spreadsheetml/2009/9/main" objectType="Drop" dropLines="4" dropStyle="combo" dx="22" fmlaLink="$Y$25" fmlaRange="DropDown_Period" noThreeD="1" sel="1" val="0"/>
</file>

<file path=xl/ctrlProps/ctrlProp117.xml><?xml version="1.0" encoding="utf-8"?>
<formControlPr xmlns="http://schemas.microsoft.com/office/spreadsheetml/2009/9/main" objectType="Drop" dropLines="4" dropStyle="combo" dx="22" fmlaLink="$Y$26" fmlaRange="DropDown_Period" noThreeD="1" sel="1" val="0"/>
</file>

<file path=xl/ctrlProps/ctrlProp118.xml><?xml version="1.0" encoding="utf-8"?>
<formControlPr xmlns="http://schemas.microsoft.com/office/spreadsheetml/2009/9/main" objectType="Drop" dropLines="4" dropStyle="combo" dx="22" fmlaLink="$Y$27" fmlaRange="DropDown_Period" noThreeD="1" sel="1" val="0"/>
</file>

<file path=xl/ctrlProps/ctrlProp119.xml><?xml version="1.0" encoding="utf-8"?>
<formControlPr xmlns="http://schemas.microsoft.com/office/spreadsheetml/2009/9/main" objectType="Drop" dropLines="4" dropStyle="combo" dx="22" fmlaLink="$Y$28" fmlaRange="DropDown_Period" noThreeD="1" sel="1" val="0"/>
</file>

<file path=xl/ctrlProps/ctrlProp12.xml><?xml version="1.0" encoding="utf-8"?>
<formControlPr xmlns="http://schemas.microsoft.com/office/spreadsheetml/2009/9/main" objectType="CheckBox" fmlaLink="Data_Exclude_NonUWSubawardsExceeding25K" lockText="1" noThreeD="1"/>
</file>

<file path=xl/ctrlProps/ctrlProp120.xml><?xml version="1.0" encoding="utf-8"?>
<formControlPr xmlns="http://schemas.microsoft.com/office/spreadsheetml/2009/9/main" objectType="Drop" dropLines="4" dropStyle="combo" dx="22" fmlaLink="$Y$29" fmlaRange="DropDown_Period" noThreeD="1" sel="1" val="0"/>
</file>

<file path=xl/ctrlProps/ctrlProp121.xml><?xml version="1.0" encoding="utf-8"?>
<formControlPr xmlns="http://schemas.microsoft.com/office/spreadsheetml/2009/9/main" objectType="Drop" dropLines="4" dropStyle="combo" dx="22" fmlaLink="$Y$30" fmlaRange="DropDown_Period" noThreeD="1" sel="1" val="0"/>
</file>

<file path=xl/ctrlProps/ctrlProp122.xml><?xml version="1.0" encoding="utf-8"?>
<formControlPr xmlns="http://schemas.microsoft.com/office/spreadsheetml/2009/9/main" objectType="Drop" dropLines="14" dropStyle="combo" dx="22" fmlaLink="Calc!$D$61" fmlaRange="DropDown_RAAreaSelection" noThreeD="1" sel="1" val="0"/>
</file>

<file path=xl/ctrlProps/ctrlProp123.xml><?xml version="1.0" encoding="utf-8"?>
<formControlPr xmlns="http://schemas.microsoft.com/office/spreadsheetml/2009/9/main" objectType="Drop" dropStyle="combo" dx="22" fmlaLink="Calc!$E$61" fmlaRange="DropDown_RA_PA" noThreeD="1" sel="1" val="0"/>
</file>

<file path=xl/ctrlProps/ctrlProp124.xml><?xml version="1.0" encoding="utf-8"?>
<formControlPr xmlns="http://schemas.microsoft.com/office/spreadsheetml/2009/9/main" objectType="Drop" dropStyle="combo" dx="22" fmlaLink="Calc!$F$61" fmlaRange="DropDown_RA_PA_LengthAndPercentage" noThreeD="1" sel="1" val="0"/>
</file>

<file path=xl/ctrlProps/ctrlProp125.xml><?xml version="1.0" encoding="utf-8"?>
<formControlPr xmlns="http://schemas.microsoft.com/office/spreadsheetml/2009/9/main" objectType="Drop" dropLines="14" dropStyle="combo" dx="22" fmlaLink="Calc!$D$62" fmlaRange="DropDown_RAAreaSelection" noThreeD="1" sel="1" val="0"/>
</file>

<file path=xl/ctrlProps/ctrlProp126.xml><?xml version="1.0" encoding="utf-8"?>
<formControlPr xmlns="http://schemas.microsoft.com/office/spreadsheetml/2009/9/main" objectType="Drop" dropStyle="combo" dx="22" fmlaLink="Calc!$E$62" fmlaRange="DropDown_RA_PA" noThreeD="1" sel="1" val="0"/>
</file>

<file path=xl/ctrlProps/ctrlProp127.xml><?xml version="1.0" encoding="utf-8"?>
<formControlPr xmlns="http://schemas.microsoft.com/office/spreadsheetml/2009/9/main" objectType="Drop" dropStyle="combo" dx="22" fmlaLink="Calc!$F$62" fmlaRange="DropDown_RA_PA_LengthAndPercentage" noThreeD="1" sel="1" val="0"/>
</file>

<file path=xl/ctrlProps/ctrlProp128.xml><?xml version="1.0" encoding="utf-8"?>
<formControlPr xmlns="http://schemas.microsoft.com/office/spreadsheetml/2009/9/main" objectType="Drop" dropLines="14" dropStyle="combo" dx="22" fmlaLink="Calc!$D$63" fmlaRange="DropDown_RAAreaSelection" noThreeD="1" sel="1" val="0"/>
</file>

<file path=xl/ctrlProps/ctrlProp129.xml><?xml version="1.0" encoding="utf-8"?>
<formControlPr xmlns="http://schemas.microsoft.com/office/spreadsheetml/2009/9/main" objectType="Drop" dropStyle="combo" dx="22" fmlaLink="Calc!$E$63" fmlaRange="DropDown_RA_PA" noThreeD="1" sel="1" val="0"/>
</file>

<file path=xl/ctrlProps/ctrlProp13.xml><?xml version="1.0" encoding="utf-8"?>
<formControlPr xmlns="http://schemas.microsoft.com/office/spreadsheetml/2009/9/main" objectType="CheckBox" fmlaLink="'Drop-Down_Options'!$E$3" lockText="1" noThreeD="1"/>
</file>

<file path=xl/ctrlProps/ctrlProp130.xml><?xml version="1.0" encoding="utf-8"?>
<formControlPr xmlns="http://schemas.microsoft.com/office/spreadsheetml/2009/9/main" objectType="Drop" dropStyle="combo" dx="22" fmlaLink="Calc!$F$63" fmlaRange="DropDown_RA_PA_LengthAndPercentage" noThreeD="1" sel="1" val="0"/>
</file>

<file path=xl/ctrlProps/ctrlProp131.xml><?xml version="1.0" encoding="utf-8"?>
<formControlPr xmlns="http://schemas.microsoft.com/office/spreadsheetml/2009/9/main" objectType="Drop" dropLines="14" dropStyle="combo" dx="22" fmlaLink="Calc!$D$64" fmlaRange="DropDown_RAAreaSelection" noThreeD="1" sel="1" val="0"/>
</file>

<file path=xl/ctrlProps/ctrlProp132.xml><?xml version="1.0" encoding="utf-8"?>
<formControlPr xmlns="http://schemas.microsoft.com/office/spreadsheetml/2009/9/main" objectType="Drop" dropStyle="combo" dx="22" fmlaLink="Calc!$E$64" fmlaRange="DropDown_RA_PA" noThreeD="1" sel="1" val="0"/>
</file>

<file path=xl/ctrlProps/ctrlProp133.xml><?xml version="1.0" encoding="utf-8"?>
<formControlPr xmlns="http://schemas.microsoft.com/office/spreadsheetml/2009/9/main" objectType="Drop" dropStyle="combo" dx="22" fmlaLink="Calc!$F$64" fmlaRange="DropDown_RA_PA_LengthAndPercentage" noThreeD="1" sel="1" val="0"/>
</file>

<file path=xl/ctrlProps/ctrlProp134.xml><?xml version="1.0" encoding="utf-8"?>
<formControlPr xmlns="http://schemas.microsoft.com/office/spreadsheetml/2009/9/main" objectType="Drop" dropLines="14" dropStyle="combo" dx="22" fmlaLink="Calc!$D$60" fmlaRange="DropDown_RAAreaSelection" noThreeD="1" sel="1" val="0"/>
</file>

<file path=xl/ctrlProps/ctrlProp135.xml><?xml version="1.0" encoding="utf-8"?>
<formControlPr xmlns="http://schemas.microsoft.com/office/spreadsheetml/2009/9/main" objectType="Drop" dropStyle="combo" dx="22" fmlaLink="Calc!$E$60" fmlaRange="DropDown_RA_PA" noThreeD="1" sel="1" val="0"/>
</file>

<file path=xl/ctrlProps/ctrlProp136.xml><?xml version="1.0" encoding="utf-8"?>
<formControlPr xmlns="http://schemas.microsoft.com/office/spreadsheetml/2009/9/main" objectType="Drop" dropStyle="combo" dx="22" fmlaLink="Calc!$F$60" fmlaRange="DropDown_RA_PA_LengthAndPercentage" noThreeD="1" sel="1" val="0"/>
</file>

<file path=xl/ctrlProps/ctrlProp137.xml><?xml version="1.0" encoding="utf-8"?>
<formControlPr xmlns="http://schemas.microsoft.com/office/spreadsheetml/2009/9/main" objectType="Drop" dropLines="4" dropStyle="combo" dx="22" fmlaLink="$Y$11" fmlaRange="DropDown_Period" noThreeD="1" sel="1" val="0"/>
</file>

<file path=xl/ctrlProps/ctrlProp138.xml><?xml version="1.0" encoding="utf-8"?>
<formControlPr xmlns="http://schemas.microsoft.com/office/spreadsheetml/2009/9/main" objectType="Drop" dropLines="4" dropStyle="combo" dx="22" fmlaLink="$Y$12" fmlaRange="DropDown_Period" noThreeD="1" sel="1" val="0"/>
</file>

<file path=xl/ctrlProps/ctrlProp139.xml><?xml version="1.0" encoding="utf-8"?>
<formControlPr xmlns="http://schemas.microsoft.com/office/spreadsheetml/2009/9/main" objectType="Drop" dropLines="4" dropStyle="combo" dx="22" fmlaLink="$Y$13" fmlaRange="DropDown_Period" noThreeD="1" sel="1" val="0"/>
</file>

<file path=xl/ctrlProps/ctrlProp14.xml><?xml version="1.0" encoding="utf-8"?>
<formControlPr xmlns="http://schemas.microsoft.com/office/spreadsheetml/2009/9/main" objectType="Drop" dropLines="6" dropStyle="combo" dx="22" fmlaLink="'Drop-Down_Options'!$C$92" fmlaRange="DropDown_FA_RateTypes" noThreeD="1" sel="1" val="0"/>
</file>

<file path=xl/ctrlProps/ctrlProp140.xml><?xml version="1.0" encoding="utf-8"?>
<formControlPr xmlns="http://schemas.microsoft.com/office/spreadsheetml/2009/9/main" objectType="Drop" dropLines="4" dropStyle="combo" dx="22" fmlaLink="$Y$14" fmlaRange="DropDown_Period" noThreeD="1" sel="1" val="0"/>
</file>

<file path=xl/ctrlProps/ctrlProp141.xml><?xml version="1.0" encoding="utf-8"?>
<formControlPr xmlns="http://schemas.microsoft.com/office/spreadsheetml/2009/9/main" objectType="Drop" dropLines="4" dropStyle="combo" dx="22" fmlaLink="$Y$15" fmlaRange="DropDown_Period" noThreeD="1" sel="1" val="0"/>
</file>

<file path=xl/ctrlProps/ctrlProp142.xml><?xml version="1.0" encoding="utf-8"?>
<formControlPr xmlns="http://schemas.microsoft.com/office/spreadsheetml/2009/9/main" objectType="Drop" dropLines="4" dropStyle="combo" dx="22" fmlaLink="$Y$16" fmlaRange="DropDown_Period" noThreeD="1" sel="1" val="0"/>
</file>

<file path=xl/ctrlProps/ctrlProp143.xml><?xml version="1.0" encoding="utf-8"?>
<formControlPr xmlns="http://schemas.microsoft.com/office/spreadsheetml/2009/9/main" objectType="Drop" dropLines="4" dropStyle="combo" dx="22" fmlaLink="$Y$17" fmlaRange="DropDown_Period" noThreeD="1" sel="1" val="0"/>
</file>

<file path=xl/ctrlProps/ctrlProp144.xml><?xml version="1.0" encoding="utf-8"?>
<formControlPr xmlns="http://schemas.microsoft.com/office/spreadsheetml/2009/9/main" objectType="Drop" dropLines="4" dropStyle="combo" dx="22" fmlaLink="Y$18" fmlaRange="DropDown_Period" noThreeD="1" sel="1" val="0"/>
</file>

<file path=xl/ctrlProps/ctrlProp145.xml><?xml version="1.0" encoding="utf-8"?>
<formControlPr xmlns="http://schemas.microsoft.com/office/spreadsheetml/2009/9/main" objectType="Drop" dropLines="4" dropStyle="combo" dx="22" fmlaLink="$Y$19" fmlaRange="DropDown_Period" noThreeD="1" sel="1" val="0"/>
</file>

<file path=xl/ctrlProps/ctrlProp146.xml><?xml version="1.0" encoding="utf-8"?>
<formControlPr xmlns="http://schemas.microsoft.com/office/spreadsheetml/2009/9/main" objectType="Drop" dropLines="4" dropStyle="combo" dx="22" fmlaLink="$Y$20" fmlaRange="DropDown_Period" noThreeD="1" sel="1" val="0"/>
</file>

<file path=xl/ctrlProps/ctrlProp147.xml><?xml version="1.0" encoding="utf-8"?>
<formControlPr xmlns="http://schemas.microsoft.com/office/spreadsheetml/2009/9/main" objectType="Drop" dropLines="4" dropStyle="combo" dx="22" fmlaLink="$Y$21" fmlaRange="DropDown_Period" noThreeD="1" sel="1" val="0"/>
</file>

<file path=xl/ctrlProps/ctrlProp148.xml><?xml version="1.0" encoding="utf-8"?>
<formControlPr xmlns="http://schemas.microsoft.com/office/spreadsheetml/2009/9/main" objectType="Drop" dropLines="4" dropStyle="combo" dx="22" fmlaLink="$Y$22" fmlaRange="DropDown_Period" noThreeD="1" sel="1" val="0"/>
</file>

<file path=xl/ctrlProps/ctrlProp149.xml><?xml version="1.0" encoding="utf-8"?>
<formControlPr xmlns="http://schemas.microsoft.com/office/spreadsheetml/2009/9/main" objectType="Drop" dropLines="4" dropStyle="combo" dx="22" fmlaLink="$Y$23" fmlaRange="DropDown_Period" noThreeD="1" sel="1" val="0"/>
</file>

<file path=xl/ctrlProps/ctrlProp15.xml><?xml version="1.0" encoding="utf-8"?>
<formControlPr xmlns="http://schemas.microsoft.com/office/spreadsheetml/2009/9/main" objectType="Drop" dropLines="5" dropStyle="combo" dx="22" fmlaLink="$L$11" fmlaRange="Dropdown_Role" noThreeD="1" sel="1" val="0"/>
</file>

<file path=xl/ctrlProps/ctrlProp150.xml><?xml version="1.0" encoding="utf-8"?>
<formControlPr xmlns="http://schemas.microsoft.com/office/spreadsheetml/2009/9/main" objectType="Drop" dropLines="4" dropStyle="combo" dx="22" fmlaLink="$Y$24" fmlaRange="DropDown_Period" noThreeD="1" sel="1" val="0"/>
</file>

<file path=xl/ctrlProps/ctrlProp151.xml><?xml version="1.0" encoding="utf-8"?>
<formControlPr xmlns="http://schemas.microsoft.com/office/spreadsheetml/2009/9/main" objectType="Drop" dropLines="4" dropStyle="combo" dx="22" fmlaLink="$Y$25" fmlaRange="DropDown_Period" noThreeD="1" sel="1" val="0"/>
</file>

<file path=xl/ctrlProps/ctrlProp152.xml><?xml version="1.0" encoding="utf-8"?>
<formControlPr xmlns="http://schemas.microsoft.com/office/spreadsheetml/2009/9/main" objectType="Drop" dropLines="4" dropStyle="combo" dx="22" fmlaLink="$Y$26" fmlaRange="DropDown_Period" noThreeD="1" sel="1" val="0"/>
</file>

<file path=xl/ctrlProps/ctrlProp153.xml><?xml version="1.0" encoding="utf-8"?>
<formControlPr xmlns="http://schemas.microsoft.com/office/spreadsheetml/2009/9/main" objectType="Drop" dropLines="4" dropStyle="combo" dx="22" fmlaLink="$Y$27" fmlaRange="DropDown_Period" noThreeD="1" sel="1" val="0"/>
</file>

<file path=xl/ctrlProps/ctrlProp154.xml><?xml version="1.0" encoding="utf-8"?>
<formControlPr xmlns="http://schemas.microsoft.com/office/spreadsheetml/2009/9/main" objectType="Drop" dropLines="4" dropStyle="combo" dx="22" fmlaLink="$Y$28" fmlaRange="DropDown_Period" noThreeD="1" sel="1" val="0"/>
</file>

<file path=xl/ctrlProps/ctrlProp155.xml><?xml version="1.0" encoding="utf-8"?>
<formControlPr xmlns="http://schemas.microsoft.com/office/spreadsheetml/2009/9/main" objectType="Drop" dropLines="4" dropStyle="combo" dx="22" fmlaLink="$Y$29" fmlaRange="DropDown_Period" noThreeD="1" sel="1" val="0"/>
</file>

<file path=xl/ctrlProps/ctrlProp156.xml><?xml version="1.0" encoding="utf-8"?>
<formControlPr xmlns="http://schemas.microsoft.com/office/spreadsheetml/2009/9/main" objectType="Drop" dropLines="4" dropStyle="combo" dx="22" fmlaLink="$Y$30" fmlaRange="DropDown_Period" noThreeD="1" sel="1" val="0"/>
</file>

<file path=xl/ctrlProps/ctrlProp157.xml><?xml version="1.0" encoding="utf-8"?>
<formControlPr xmlns="http://schemas.microsoft.com/office/spreadsheetml/2009/9/main" objectType="Drop" dropLines="14" dropStyle="combo" dx="22" fmlaLink="Calc!$D$66" fmlaRange="DropDown_RAAreaSelection" noThreeD="1" sel="1" val="0"/>
</file>

<file path=xl/ctrlProps/ctrlProp158.xml><?xml version="1.0" encoding="utf-8"?>
<formControlPr xmlns="http://schemas.microsoft.com/office/spreadsheetml/2009/9/main" objectType="Drop" dropStyle="combo" dx="22" fmlaLink="Calc!$E$66" fmlaRange="DropDown_RA_PA" noThreeD="1" sel="1" val="0"/>
</file>

<file path=xl/ctrlProps/ctrlProp159.xml><?xml version="1.0" encoding="utf-8"?>
<formControlPr xmlns="http://schemas.microsoft.com/office/spreadsheetml/2009/9/main" objectType="Drop" dropStyle="combo" dx="22" fmlaLink="Calc!$F$66" fmlaRange="DropDown_RA_PA_LengthAndPercentage" noThreeD="1" sel="1" val="0"/>
</file>

<file path=xl/ctrlProps/ctrlProp16.xml><?xml version="1.0" encoding="utf-8"?>
<formControlPr xmlns="http://schemas.microsoft.com/office/spreadsheetml/2009/9/main" objectType="Drop" dropLines="5" dropStyle="combo" dx="22" fmlaLink="$O$11" fmlaRange="DropDown_PayBasis" noThreeD="1" sel="1" val="0"/>
</file>

<file path=xl/ctrlProps/ctrlProp160.xml><?xml version="1.0" encoding="utf-8"?>
<formControlPr xmlns="http://schemas.microsoft.com/office/spreadsheetml/2009/9/main" objectType="Drop" dropLines="14" dropStyle="combo" dx="22" fmlaLink="Calc!$D$67" fmlaRange="DropDown_RAAreaSelection" noThreeD="1" sel="1" val="0"/>
</file>

<file path=xl/ctrlProps/ctrlProp161.xml><?xml version="1.0" encoding="utf-8"?>
<formControlPr xmlns="http://schemas.microsoft.com/office/spreadsheetml/2009/9/main" objectType="Drop" dropStyle="combo" dx="22" fmlaLink="Calc!$E$67" fmlaRange="DropDown_RA_PA" noThreeD="1" sel="1" val="0"/>
</file>

<file path=xl/ctrlProps/ctrlProp162.xml><?xml version="1.0" encoding="utf-8"?>
<formControlPr xmlns="http://schemas.microsoft.com/office/spreadsheetml/2009/9/main" objectType="Drop" dropStyle="combo" dx="22" fmlaLink="Calc!$F$67" fmlaRange="DropDown_RA_PA_LengthAndPercentage" noThreeD="1" sel="1" val="0"/>
</file>

<file path=xl/ctrlProps/ctrlProp163.xml><?xml version="1.0" encoding="utf-8"?>
<formControlPr xmlns="http://schemas.microsoft.com/office/spreadsheetml/2009/9/main" objectType="Drop" dropLines="14" dropStyle="combo" dx="22" fmlaLink="Calc!$D$68" fmlaRange="DropDown_RAAreaSelection" noThreeD="1" sel="1" val="0"/>
</file>

<file path=xl/ctrlProps/ctrlProp164.xml><?xml version="1.0" encoding="utf-8"?>
<formControlPr xmlns="http://schemas.microsoft.com/office/spreadsheetml/2009/9/main" objectType="Drop" dropStyle="combo" dx="22" fmlaLink="Calc!$E$68" fmlaRange="DropDown_RA_PA" noThreeD="1" sel="1" val="0"/>
</file>

<file path=xl/ctrlProps/ctrlProp165.xml><?xml version="1.0" encoding="utf-8"?>
<formControlPr xmlns="http://schemas.microsoft.com/office/spreadsheetml/2009/9/main" objectType="Drop" dropStyle="combo" dx="22" fmlaLink="Calc!$F$68" fmlaRange="DropDown_RA_PA_LengthAndPercentage" noThreeD="1" sel="1" val="0"/>
</file>

<file path=xl/ctrlProps/ctrlProp166.xml><?xml version="1.0" encoding="utf-8"?>
<formControlPr xmlns="http://schemas.microsoft.com/office/spreadsheetml/2009/9/main" objectType="Drop" dropLines="14" dropStyle="combo" dx="22" fmlaLink="Calc!$D$69" fmlaRange="DropDown_RAAreaSelection" noThreeD="1" sel="1" val="0"/>
</file>

<file path=xl/ctrlProps/ctrlProp167.xml><?xml version="1.0" encoding="utf-8"?>
<formControlPr xmlns="http://schemas.microsoft.com/office/spreadsheetml/2009/9/main" objectType="Drop" dropStyle="combo" dx="22" fmlaLink="Calc!$E$69" fmlaRange="DropDown_RA_PA" noThreeD="1" sel="1" val="0"/>
</file>

<file path=xl/ctrlProps/ctrlProp168.xml><?xml version="1.0" encoding="utf-8"?>
<formControlPr xmlns="http://schemas.microsoft.com/office/spreadsheetml/2009/9/main" objectType="Drop" dropStyle="combo" dx="22" fmlaLink="Calc!$F$69" fmlaRange="DropDown_RA_PA_LengthAndPercentage" noThreeD="1" sel="1" val="0"/>
</file>

<file path=xl/ctrlProps/ctrlProp169.xml><?xml version="1.0" encoding="utf-8"?>
<formControlPr xmlns="http://schemas.microsoft.com/office/spreadsheetml/2009/9/main" objectType="Drop" dropLines="14" dropStyle="combo" dx="22" fmlaLink="Calc!$D$65" fmlaRange="DropDown_RAAreaSelection" noThreeD="1" sel="1" val="0"/>
</file>

<file path=xl/ctrlProps/ctrlProp17.xml><?xml version="1.0" encoding="utf-8"?>
<formControlPr xmlns="http://schemas.microsoft.com/office/spreadsheetml/2009/9/main" objectType="Drop" dropLines="4" dropStyle="combo" dx="22" fmlaLink="$Y$11" fmlaRange="DropDown_Period" noThreeD="1" sel="1" val="0"/>
</file>

<file path=xl/ctrlProps/ctrlProp170.xml><?xml version="1.0" encoding="utf-8"?>
<formControlPr xmlns="http://schemas.microsoft.com/office/spreadsheetml/2009/9/main" objectType="Drop" dropStyle="combo" dx="22" fmlaLink="Calc!$E$65" fmlaRange="DropDown_RA_PA" noThreeD="1" sel="1" val="0"/>
</file>

<file path=xl/ctrlProps/ctrlProp171.xml><?xml version="1.0" encoding="utf-8"?>
<formControlPr xmlns="http://schemas.microsoft.com/office/spreadsheetml/2009/9/main" objectType="Drop" dropStyle="combo" dx="22" fmlaLink="Calc!$F$65" fmlaRange="DropDown_RA_PA_LengthAndPercentage" noThreeD="1" sel="1" val="0"/>
</file>

<file path=xl/ctrlProps/ctrlProp172.xml><?xml version="1.0" encoding="utf-8"?>
<formControlPr xmlns="http://schemas.microsoft.com/office/spreadsheetml/2009/9/main" objectType="Drop" dropLines="4" dropStyle="combo" dx="22" fmlaLink="$Y$11" fmlaRange="DropDown_Period" noThreeD="1" sel="1" val="0"/>
</file>

<file path=xl/ctrlProps/ctrlProp173.xml><?xml version="1.0" encoding="utf-8"?>
<formControlPr xmlns="http://schemas.microsoft.com/office/spreadsheetml/2009/9/main" objectType="Drop" dropLines="4" dropStyle="combo" dx="22" fmlaLink="$Y$12" fmlaRange="DropDown_Period" noThreeD="1" sel="1" val="0"/>
</file>

<file path=xl/ctrlProps/ctrlProp174.xml><?xml version="1.0" encoding="utf-8"?>
<formControlPr xmlns="http://schemas.microsoft.com/office/spreadsheetml/2009/9/main" objectType="Drop" dropLines="4" dropStyle="combo" dx="22" fmlaLink="$Y$13" fmlaRange="DropDown_Period" noThreeD="1" sel="1" val="0"/>
</file>

<file path=xl/ctrlProps/ctrlProp175.xml><?xml version="1.0" encoding="utf-8"?>
<formControlPr xmlns="http://schemas.microsoft.com/office/spreadsheetml/2009/9/main" objectType="Drop" dropLines="4" dropStyle="combo" dx="22" fmlaLink="$Y$14" fmlaRange="DropDown_Period" noThreeD="1" sel="1" val="0"/>
</file>

<file path=xl/ctrlProps/ctrlProp176.xml><?xml version="1.0" encoding="utf-8"?>
<formControlPr xmlns="http://schemas.microsoft.com/office/spreadsheetml/2009/9/main" objectType="Drop" dropLines="4" dropStyle="combo" dx="22" fmlaLink="$Y$15" fmlaRange="DropDown_Period" noThreeD="1" sel="1" val="0"/>
</file>

<file path=xl/ctrlProps/ctrlProp177.xml><?xml version="1.0" encoding="utf-8"?>
<formControlPr xmlns="http://schemas.microsoft.com/office/spreadsheetml/2009/9/main" objectType="Drop" dropLines="4" dropStyle="combo" dx="22" fmlaLink="$Y$16" fmlaRange="DropDown_Period" noThreeD="1" sel="1" val="0"/>
</file>

<file path=xl/ctrlProps/ctrlProp178.xml><?xml version="1.0" encoding="utf-8"?>
<formControlPr xmlns="http://schemas.microsoft.com/office/spreadsheetml/2009/9/main" objectType="Drop" dropLines="4" dropStyle="combo" dx="22" fmlaLink="$Y$17" fmlaRange="DropDown_Period" noThreeD="1" sel="1" val="0"/>
</file>

<file path=xl/ctrlProps/ctrlProp179.xml><?xml version="1.0" encoding="utf-8"?>
<formControlPr xmlns="http://schemas.microsoft.com/office/spreadsheetml/2009/9/main" objectType="Drop" dropLines="4" dropStyle="combo" dx="22" fmlaLink="Y$18" fmlaRange="DropDown_Period" noThreeD="1" sel="1" val="0"/>
</file>

<file path=xl/ctrlProps/ctrlProp18.xml><?xml version="1.0" encoding="utf-8"?>
<formControlPr xmlns="http://schemas.microsoft.com/office/spreadsheetml/2009/9/main" objectType="Drop" dropLines="5" dropStyle="combo" dx="22" fmlaLink="$L$12" fmlaRange="Dropdown_Role" noThreeD="1" sel="1" val="0"/>
</file>

<file path=xl/ctrlProps/ctrlProp180.xml><?xml version="1.0" encoding="utf-8"?>
<formControlPr xmlns="http://schemas.microsoft.com/office/spreadsheetml/2009/9/main" objectType="Drop" dropLines="4" dropStyle="combo" dx="22" fmlaLink="$Y$19" fmlaRange="DropDown_Period" noThreeD="1" sel="1" val="0"/>
</file>

<file path=xl/ctrlProps/ctrlProp181.xml><?xml version="1.0" encoding="utf-8"?>
<formControlPr xmlns="http://schemas.microsoft.com/office/spreadsheetml/2009/9/main" objectType="Drop" dropLines="4" dropStyle="combo" dx="22" fmlaLink="$Y$20" fmlaRange="DropDown_Period" noThreeD="1" sel="1" val="0"/>
</file>

<file path=xl/ctrlProps/ctrlProp182.xml><?xml version="1.0" encoding="utf-8"?>
<formControlPr xmlns="http://schemas.microsoft.com/office/spreadsheetml/2009/9/main" objectType="Drop" dropLines="4" dropStyle="combo" dx="22" fmlaLink="$Y$21" fmlaRange="DropDown_Period" noThreeD="1" sel="1" val="0"/>
</file>

<file path=xl/ctrlProps/ctrlProp183.xml><?xml version="1.0" encoding="utf-8"?>
<formControlPr xmlns="http://schemas.microsoft.com/office/spreadsheetml/2009/9/main" objectType="Drop" dropLines="4" dropStyle="combo" dx="22" fmlaLink="$Y$22" fmlaRange="DropDown_Period" noThreeD="1" sel="1" val="0"/>
</file>

<file path=xl/ctrlProps/ctrlProp184.xml><?xml version="1.0" encoding="utf-8"?>
<formControlPr xmlns="http://schemas.microsoft.com/office/spreadsheetml/2009/9/main" objectType="Drop" dropLines="4" dropStyle="combo" dx="22" fmlaLink="$Y$23" fmlaRange="DropDown_Period" noThreeD="1" sel="1" val="0"/>
</file>

<file path=xl/ctrlProps/ctrlProp185.xml><?xml version="1.0" encoding="utf-8"?>
<formControlPr xmlns="http://schemas.microsoft.com/office/spreadsheetml/2009/9/main" objectType="Drop" dropLines="4" dropStyle="combo" dx="22" fmlaLink="$Y$24" fmlaRange="DropDown_Period" noThreeD="1" sel="1" val="0"/>
</file>

<file path=xl/ctrlProps/ctrlProp186.xml><?xml version="1.0" encoding="utf-8"?>
<formControlPr xmlns="http://schemas.microsoft.com/office/spreadsheetml/2009/9/main" objectType="Drop" dropLines="4" dropStyle="combo" dx="22" fmlaLink="$Y$25" fmlaRange="DropDown_Period" noThreeD="1" sel="1" val="0"/>
</file>

<file path=xl/ctrlProps/ctrlProp187.xml><?xml version="1.0" encoding="utf-8"?>
<formControlPr xmlns="http://schemas.microsoft.com/office/spreadsheetml/2009/9/main" objectType="Drop" dropLines="4" dropStyle="combo" dx="22" fmlaLink="$Y$26" fmlaRange="DropDown_Period" noThreeD="1" sel="1" val="0"/>
</file>

<file path=xl/ctrlProps/ctrlProp188.xml><?xml version="1.0" encoding="utf-8"?>
<formControlPr xmlns="http://schemas.microsoft.com/office/spreadsheetml/2009/9/main" objectType="Drop" dropLines="4" dropStyle="combo" dx="22" fmlaLink="$Y$27" fmlaRange="DropDown_Period" noThreeD="1" sel="1" val="0"/>
</file>

<file path=xl/ctrlProps/ctrlProp189.xml><?xml version="1.0" encoding="utf-8"?>
<formControlPr xmlns="http://schemas.microsoft.com/office/spreadsheetml/2009/9/main" objectType="Drop" dropLines="4" dropStyle="combo" dx="22" fmlaLink="$Y$28" fmlaRange="DropDown_Period" noThreeD="1" sel="1" val="0"/>
</file>

<file path=xl/ctrlProps/ctrlProp19.xml><?xml version="1.0" encoding="utf-8"?>
<formControlPr xmlns="http://schemas.microsoft.com/office/spreadsheetml/2009/9/main" objectType="Drop" dropLines="5" dropStyle="combo" dx="22" fmlaLink="$L$13" fmlaRange="Dropdown_Role" noThreeD="1" sel="1" val="0"/>
</file>

<file path=xl/ctrlProps/ctrlProp190.xml><?xml version="1.0" encoding="utf-8"?>
<formControlPr xmlns="http://schemas.microsoft.com/office/spreadsheetml/2009/9/main" objectType="Drop" dropLines="4" dropStyle="combo" dx="22" fmlaLink="$Y$29" fmlaRange="DropDown_Period" noThreeD="1" sel="1" val="0"/>
</file>

<file path=xl/ctrlProps/ctrlProp191.xml><?xml version="1.0" encoding="utf-8"?>
<formControlPr xmlns="http://schemas.microsoft.com/office/spreadsheetml/2009/9/main" objectType="Drop" dropLines="4" dropStyle="combo" dx="22" fmlaLink="$Y$30" fmlaRange="DropDown_Period" noThreeD="1" sel="1" val="0"/>
</file>

<file path=xl/ctrlProps/ctrlProp192.xml><?xml version="1.0" encoding="utf-8"?>
<formControlPr xmlns="http://schemas.microsoft.com/office/spreadsheetml/2009/9/main" objectType="Drop" dropLines="14" dropStyle="combo" dx="22" fmlaLink="Calc!$D$71" fmlaRange="DropDown_RAAreaSelection" noThreeD="1" sel="1" val="0"/>
</file>

<file path=xl/ctrlProps/ctrlProp193.xml><?xml version="1.0" encoding="utf-8"?>
<formControlPr xmlns="http://schemas.microsoft.com/office/spreadsheetml/2009/9/main" objectType="Drop" dropStyle="combo" dx="22" fmlaLink="Calc!$E$71" fmlaRange="DropDown_RA_PA" noThreeD="1" sel="1" val="0"/>
</file>

<file path=xl/ctrlProps/ctrlProp194.xml><?xml version="1.0" encoding="utf-8"?>
<formControlPr xmlns="http://schemas.microsoft.com/office/spreadsheetml/2009/9/main" objectType="Drop" dropStyle="combo" dx="22" fmlaLink="Calc!$F$71" fmlaRange="DropDown_RA_PA_LengthAndPercentage" noThreeD="1" sel="1" val="0"/>
</file>

<file path=xl/ctrlProps/ctrlProp195.xml><?xml version="1.0" encoding="utf-8"?>
<formControlPr xmlns="http://schemas.microsoft.com/office/spreadsheetml/2009/9/main" objectType="Drop" dropLines="14" dropStyle="combo" dx="22" fmlaLink="Calc!$D$72" fmlaRange="DropDown_RAAreaSelection" noThreeD="1" sel="1" val="0"/>
</file>

<file path=xl/ctrlProps/ctrlProp196.xml><?xml version="1.0" encoding="utf-8"?>
<formControlPr xmlns="http://schemas.microsoft.com/office/spreadsheetml/2009/9/main" objectType="Drop" dropStyle="combo" dx="22" fmlaLink="Calc!$E$72" fmlaRange="DropDown_RA_PA" noThreeD="1" sel="1" val="0"/>
</file>

<file path=xl/ctrlProps/ctrlProp197.xml><?xml version="1.0" encoding="utf-8"?>
<formControlPr xmlns="http://schemas.microsoft.com/office/spreadsheetml/2009/9/main" objectType="Drop" dropStyle="combo" dx="22" fmlaLink="Calc!$F$72" fmlaRange="DropDown_RA_PA_LengthAndPercentage" noThreeD="1" sel="1" val="0"/>
</file>

<file path=xl/ctrlProps/ctrlProp198.xml><?xml version="1.0" encoding="utf-8"?>
<formControlPr xmlns="http://schemas.microsoft.com/office/spreadsheetml/2009/9/main" objectType="Drop" dropLines="14" dropStyle="combo" dx="22" fmlaLink="Calc!$D$73" fmlaRange="DropDown_RAAreaSelection" noThreeD="1" sel="1" val="0"/>
</file>

<file path=xl/ctrlProps/ctrlProp199.xml><?xml version="1.0" encoding="utf-8"?>
<formControlPr xmlns="http://schemas.microsoft.com/office/spreadsheetml/2009/9/main" objectType="Drop" dropStyle="combo" dx="22" fmlaLink="Calc!$E$73" fmlaRange="DropDown_RA_PA" noThreeD="1" sel="1" val="0"/>
</file>

<file path=xl/ctrlProps/ctrlProp2.xml><?xml version="1.0" encoding="utf-8"?>
<formControlPr xmlns="http://schemas.microsoft.com/office/spreadsheetml/2009/9/main" objectType="Drop" dropLines="4" dropStyle="combo" dx="22" fmlaLink="'Drop-Down_Options'!$E$14" fmlaRange="DropDown_FABase" noThreeD="1" sel="1" val="0"/>
</file>

<file path=xl/ctrlProps/ctrlProp20.xml><?xml version="1.0" encoding="utf-8"?>
<formControlPr xmlns="http://schemas.microsoft.com/office/spreadsheetml/2009/9/main" objectType="Drop" dropLines="5" dropStyle="combo" dx="22" fmlaLink="$L$14" fmlaRange="Dropdown_Role" noThreeD="1" sel="1" val="0"/>
</file>

<file path=xl/ctrlProps/ctrlProp200.xml><?xml version="1.0" encoding="utf-8"?>
<formControlPr xmlns="http://schemas.microsoft.com/office/spreadsheetml/2009/9/main" objectType="Drop" dropStyle="combo" dx="22" fmlaLink="Calc!$F$73" fmlaRange="DropDown_RA_PA_LengthAndPercentage" noThreeD="1" sel="1" val="0"/>
</file>

<file path=xl/ctrlProps/ctrlProp201.xml><?xml version="1.0" encoding="utf-8"?>
<formControlPr xmlns="http://schemas.microsoft.com/office/spreadsheetml/2009/9/main" objectType="Drop" dropLines="14" dropStyle="combo" dx="22" fmlaLink="Calc!$D$74" fmlaRange="DropDown_RAAreaSelection" noThreeD="1" sel="1" val="0"/>
</file>

<file path=xl/ctrlProps/ctrlProp202.xml><?xml version="1.0" encoding="utf-8"?>
<formControlPr xmlns="http://schemas.microsoft.com/office/spreadsheetml/2009/9/main" objectType="Drop" dropStyle="combo" dx="22" fmlaLink="Calc!$E$74" fmlaRange="DropDown_RA_PA" noThreeD="1" sel="1" val="0"/>
</file>

<file path=xl/ctrlProps/ctrlProp203.xml><?xml version="1.0" encoding="utf-8"?>
<formControlPr xmlns="http://schemas.microsoft.com/office/spreadsheetml/2009/9/main" objectType="Drop" dropStyle="combo" dx="22" fmlaLink="Calc!$F$74" fmlaRange="DropDown_RA_PA_LengthAndPercentage" noThreeD="1" sel="1" val="0"/>
</file>

<file path=xl/ctrlProps/ctrlProp204.xml><?xml version="1.0" encoding="utf-8"?>
<formControlPr xmlns="http://schemas.microsoft.com/office/spreadsheetml/2009/9/main" objectType="Drop" dropLines="14" dropStyle="combo" dx="22" fmlaLink="Calc!$D$70" fmlaRange="DropDown_RAAreaSelection" noThreeD="1" sel="1" val="0"/>
</file>

<file path=xl/ctrlProps/ctrlProp205.xml><?xml version="1.0" encoding="utf-8"?>
<formControlPr xmlns="http://schemas.microsoft.com/office/spreadsheetml/2009/9/main" objectType="Drop" dropStyle="combo" dx="22" fmlaLink="Calc!$E$70" fmlaRange="DropDown_RA_PA" noThreeD="1" sel="1" val="0"/>
</file>

<file path=xl/ctrlProps/ctrlProp206.xml><?xml version="1.0" encoding="utf-8"?>
<formControlPr xmlns="http://schemas.microsoft.com/office/spreadsheetml/2009/9/main" objectType="Drop" dropStyle="combo" dx="22" fmlaLink="Calc!$F$70" fmlaRange="DropDown_RA_PA_LengthAndPercentage" noThreeD="1" sel="1" val="0"/>
</file>

<file path=xl/ctrlProps/ctrlProp207.xml><?xml version="1.0" encoding="utf-8"?>
<formControlPr xmlns="http://schemas.microsoft.com/office/spreadsheetml/2009/9/main" objectType="Drop" dropLines="4" dropStyle="combo" dx="22" fmlaLink="$Y$11" fmlaRange="DropDown_Period" noThreeD="1" sel="1" val="0"/>
</file>

<file path=xl/ctrlProps/ctrlProp208.xml><?xml version="1.0" encoding="utf-8"?>
<formControlPr xmlns="http://schemas.microsoft.com/office/spreadsheetml/2009/9/main" objectType="Drop" dropLines="4" dropStyle="combo" dx="22" fmlaLink="$Y$12" fmlaRange="DropDown_Period" noThreeD="1" sel="1" val="0"/>
</file>

<file path=xl/ctrlProps/ctrlProp209.xml><?xml version="1.0" encoding="utf-8"?>
<formControlPr xmlns="http://schemas.microsoft.com/office/spreadsheetml/2009/9/main" objectType="Drop" dropLines="4" dropStyle="combo" dx="22" fmlaLink="$Y$13" fmlaRange="DropDown_Period" noThreeD="1" sel="1" val="0"/>
</file>

<file path=xl/ctrlProps/ctrlProp21.xml><?xml version="1.0" encoding="utf-8"?>
<formControlPr xmlns="http://schemas.microsoft.com/office/spreadsheetml/2009/9/main" objectType="Drop" dropLines="5" dropStyle="combo" dx="22" fmlaLink="$L$15" fmlaRange="Dropdown_Role" noThreeD="1" sel="1" val="0"/>
</file>

<file path=xl/ctrlProps/ctrlProp210.xml><?xml version="1.0" encoding="utf-8"?>
<formControlPr xmlns="http://schemas.microsoft.com/office/spreadsheetml/2009/9/main" objectType="Drop" dropLines="4" dropStyle="combo" dx="22" fmlaLink="$Y$14" fmlaRange="DropDown_Period" noThreeD="1" sel="1" val="0"/>
</file>

<file path=xl/ctrlProps/ctrlProp211.xml><?xml version="1.0" encoding="utf-8"?>
<formControlPr xmlns="http://schemas.microsoft.com/office/spreadsheetml/2009/9/main" objectType="Drop" dropLines="4" dropStyle="combo" dx="22" fmlaLink="$Y$15" fmlaRange="DropDown_Period" noThreeD="1" sel="1" val="0"/>
</file>

<file path=xl/ctrlProps/ctrlProp212.xml><?xml version="1.0" encoding="utf-8"?>
<formControlPr xmlns="http://schemas.microsoft.com/office/spreadsheetml/2009/9/main" objectType="Drop" dropLines="4" dropStyle="combo" dx="22" fmlaLink="$Y$16" fmlaRange="DropDown_Period" noThreeD="1" sel="1" val="0"/>
</file>

<file path=xl/ctrlProps/ctrlProp213.xml><?xml version="1.0" encoding="utf-8"?>
<formControlPr xmlns="http://schemas.microsoft.com/office/spreadsheetml/2009/9/main" objectType="Drop" dropLines="4" dropStyle="combo" dx="22" fmlaLink="$Y$17" fmlaRange="DropDown_Period" noThreeD="1" sel="1" val="0"/>
</file>

<file path=xl/ctrlProps/ctrlProp214.xml><?xml version="1.0" encoding="utf-8"?>
<formControlPr xmlns="http://schemas.microsoft.com/office/spreadsheetml/2009/9/main" objectType="Drop" dropLines="4" dropStyle="combo" dx="22" fmlaLink="Y$18" fmlaRange="DropDown_Period" noThreeD="1" sel="1" val="0"/>
</file>

<file path=xl/ctrlProps/ctrlProp215.xml><?xml version="1.0" encoding="utf-8"?>
<formControlPr xmlns="http://schemas.microsoft.com/office/spreadsheetml/2009/9/main" objectType="Drop" dropLines="4" dropStyle="combo" dx="22" fmlaLink="$Y$19" fmlaRange="DropDown_Period" noThreeD="1" sel="1" val="0"/>
</file>

<file path=xl/ctrlProps/ctrlProp216.xml><?xml version="1.0" encoding="utf-8"?>
<formControlPr xmlns="http://schemas.microsoft.com/office/spreadsheetml/2009/9/main" objectType="Drop" dropLines="4" dropStyle="combo" dx="22" fmlaLink="$Y$20" fmlaRange="DropDown_Period" noThreeD="1" sel="1" val="0"/>
</file>

<file path=xl/ctrlProps/ctrlProp217.xml><?xml version="1.0" encoding="utf-8"?>
<formControlPr xmlns="http://schemas.microsoft.com/office/spreadsheetml/2009/9/main" objectType="Drop" dropLines="4" dropStyle="combo" dx="22" fmlaLink="$Y$21" fmlaRange="DropDown_Period" noThreeD="1" sel="1" val="0"/>
</file>

<file path=xl/ctrlProps/ctrlProp218.xml><?xml version="1.0" encoding="utf-8"?>
<formControlPr xmlns="http://schemas.microsoft.com/office/spreadsheetml/2009/9/main" objectType="Drop" dropLines="4" dropStyle="combo" dx="22" fmlaLink="$Y$22" fmlaRange="DropDown_Period" noThreeD="1" sel="1" val="0"/>
</file>

<file path=xl/ctrlProps/ctrlProp219.xml><?xml version="1.0" encoding="utf-8"?>
<formControlPr xmlns="http://schemas.microsoft.com/office/spreadsheetml/2009/9/main" objectType="Drop" dropLines="4" dropStyle="combo" dx="22" fmlaLink="$Y$23" fmlaRange="DropDown_Period" noThreeD="1" sel="1" val="0"/>
</file>

<file path=xl/ctrlProps/ctrlProp22.xml><?xml version="1.0" encoding="utf-8"?>
<formControlPr xmlns="http://schemas.microsoft.com/office/spreadsheetml/2009/9/main" objectType="Drop" dropLines="5" dropStyle="combo" dx="22" fmlaLink="$L$16" fmlaRange="Dropdown_Role" noThreeD="1" sel="1" val="0"/>
</file>

<file path=xl/ctrlProps/ctrlProp220.xml><?xml version="1.0" encoding="utf-8"?>
<formControlPr xmlns="http://schemas.microsoft.com/office/spreadsheetml/2009/9/main" objectType="Drop" dropLines="4" dropStyle="combo" dx="22" fmlaLink="$Y$24" fmlaRange="DropDown_Period" noThreeD="1" sel="1" val="0"/>
</file>

<file path=xl/ctrlProps/ctrlProp221.xml><?xml version="1.0" encoding="utf-8"?>
<formControlPr xmlns="http://schemas.microsoft.com/office/spreadsheetml/2009/9/main" objectType="Drop" dropLines="4" dropStyle="combo" dx="22" fmlaLink="$Y$25" fmlaRange="DropDown_Period" noThreeD="1" sel="1" val="0"/>
</file>

<file path=xl/ctrlProps/ctrlProp222.xml><?xml version="1.0" encoding="utf-8"?>
<formControlPr xmlns="http://schemas.microsoft.com/office/spreadsheetml/2009/9/main" objectType="Drop" dropLines="4" dropStyle="combo" dx="22" fmlaLink="$Y$26" fmlaRange="DropDown_Period" noThreeD="1" sel="1" val="0"/>
</file>

<file path=xl/ctrlProps/ctrlProp223.xml><?xml version="1.0" encoding="utf-8"?>
<formControlPr xmlns="http://schemas.microsoft.com/office/spreadsheetml/2009/9/main" objectType="Drop" dropLines="4" dropStyle="combo" dx="22" fmlaLink="$Y$27" fmlaRange="DropDown_Period" noThreeD="1" sel="1" val="0"/>
</file>

<file path=xl/ctrlProps/ctrlProp224.xml><?xml version="1.0" encoding="utf-8"?>
<formControlPr xmlns="http://schemas.microsoft.com/office/spreadsheetml/2009/9/main" objectType="Drop" dropLines="4" dropStyle="combo" dx="22" fmlaLink="$Y$28" fmlaRange="DropDown_Period" noThreeD="1" sel="1" val="0"/>
</file>

<file path=xl/ctrlProps/ctrlProp225.xml><?xml version="1.0" encoding="utf-8"?>
<formControlPr xmlns="http://schemas.microsoft.com/office/spreadsheetml/2009/9/main" objectType="Drop" dropLines="4" dropStyle="combo" dx="22" fmlaLink="$Y$29" fmlaRange="DropDown_Period" noThreeD="1" sel="1" val="0"/>
</file>

<file path=xl/ctrlProps/ctrlProp226.xml><?xml version="1.0" encoding="utf-8"?>
<formControlPr xmlns="http://schemas.microsoft.com/office/spreadsheetml/2009/9/main" objectType="Drop" dropLines="4" dropStyle="combo" dx="22" fmlaLink="$Y$30" fmlaRange="DropDown_Period" noThreeD="1" sel="1" val="0"/>
</file>

<file path=xl/ctrlProps/ctrlProp227.xml><?xml version="1.0" encoding="utf-8"?>
<formControlPr xmlns="http://schemas.microsoft.com/office/spreadsheetml/2009/9/main" objectType="Drop" dropLines="14" dropStyle="combo" dx="22" fmlaLink="Calc!$D$76" fmlaRange="DropDown_RAAreaSelection" noThreeD="1" sel="1" val="0"/>
</file>

<file path=xl/ctrlProps/ctrlProp228.xml><?xml version="1.0" encoding="utf-8"?>
<formControlPr xmlns="http://schemas.microsoft.com/office/spreadsheetml/2009/9/main" objectType="Drop" dropStyle="combo" dx="22" fmlaLink="Calc!$E$76" fmlaRange="DropDown_RA_PA" noThreeD="1" sel="1" val="0"/>
</file>

<file path=xl/ctrlProps/ctrlProp229.xml><?xml version="1.0" encoding="utf-8"?>
<formControlPr xmlns="http://schemas.microsoft.com/office/spreadsheetml/2009/9/main" objectType="Drop" dropStyle="combo" dx="22" fmlaLink="Calc!$F$76" fmlaRange="DropDown_RA_PA_LengthAndPercentage" noThreeD="1" sel="1" val="0"/>
</file>

<file path=xl/ctrlProps/ctrlProp23.xml><?xml version="1.0" encoding="utf-8"?>
<formControlPr xmlns="http://schemas.microsoft.com/office/spreadsheetml/2009/9/main" objectType="Drop" dropLines="5" dropStyle="combo" dx="22" fmlaLink="$L$17" fmlaRange="Dropdown_Role" noThreeD="1" sel="1" val="0"/>
</file>

<file path=xl/ctrlProps/ctrlProp230.xml><?xml version="1.0" encoding="utf-8"?>
<formControlPr xmlns="http://schemas.microsoft.com/office/spreadsheetml/2009/9/main" objectType="Drop" dropLines="14" dropStyle="combo" dx="22" fmlaLink="Calc!$D$77" fmlaRange="DropDown_RAAreaSelection" noThreeD="1" sel="1" val="0"/>
</file>

<file path=xl/ctrlProps/ctrlProp231.xml><?xml version="1.0" encoding="utf-8"?>
<formControlPr xmlns="http://schemas.microsoft.com/office/spreadsheetml/2009/9/main" objectType="Drop" dropStyle="combo" dx="22" fmlaLink="Calc!$E$77" fmlaRange="DropDown_RA_PA" noThreeD="1" sel="1" val="0"/>
</file>

<file path=xl/ctrlProps/ctrlProp232.xml><?xml version="1.0" encoding="utf-8"?>
<formControlPr xmlns="http://schemas.microsoft.com/office/spreadsheetml/2009/9/main" objectType="Drop" dropStyle="combo" dx="22" fmlaLink="Calc!$F$77" fmlaRange="DropDown_RA_PA_LengthAndPercentage" noThreeD="1" sel="1" val="0"/>
</file>

<file path=xl/ctrlProps/ctrlProp233.xml><?xml version="1.0" encoding="utf-8"?>
<formControlPr xmlns="http://schemas.microsoft.com/office/spreadsheetml/2009/9/main" objectType="Drop" dropLines="14" dropStyle="combo" dx="22" fmlaLink="Calc!$D$78" fmlaRange="DropDown_RAAreaSelection" noThreeD="1" sel="1" val="0"/>
</file>

<file path=xl/ctrlProps/ctrlProp234.xml><?xml version="1.0" encoding="utf-8"?>
<formControlPr xmlns="http://schemas.microsoft.com/office/spreadsheetml/2009/9/main" objectType="Drop" dropStyle="combo" dx="22" fmlaLink="Calc!$E$78" fmlaRange="DropDown_RA_PA" noThreeD="1" sel="1" val="0"/>
</file>

<file path=xl/ctrlProps/ctrlProp235.xml><?xml version="1.0" encoding="utf-8"?>
<formControlPr xmlns="http://schemas.microsoft.com/office/spreadsheetml/2009/9/main" objectType="Drop" dropStyle="combo" dx="22" fmlaLink="Calc!$F$78" fmlaRange="DropDown_RA_PA_LengthAndPercentage" noThreeD="1" sel="1" val="0"/>
</file>

<file path=xl/ctrlProps/ctrlProp236.xml><?xml version="1.0" encoding="utf-8"?>
<formControlPr xmlns="http://schemas.microsoft.com/office/spreadsheetml/2009/9/main" objectType="Drop" dropLines="14" dropStyle="combo" dx="22" fmlaLink="Calc!$D$79" fmlaRange="DropDown_RAAreaSelection" noThreeD="1" sel="1" val="0"/>
</file>

<file path=xl/ctrlProps/ctrlProp237.xml><?xml version="1.0" encoding="utf-8"?>
<formControlPr xmlns="http://schemas.microsoft.com/office/spreadsheetml/2009/9/main" objectType="Drop" dropStyle="combo" dx="22" fmlaLink="Calc!$E$79" fmlaRange="DropDown_RA_PA" noThreeD="1" sel="1" val="0"/>
</file>

<file path=xl/ctrlProps/ctrlProp238.xml><?xml version="1.0" encoding="utf-8"?>
<formControlPr xmlns="http://schemas.microsoft.com/office/spreadsheetml/2009/9/main" objectType="Drop" dropStyle="combo" dx="22" fmlaLink="Calc!$F$79" fmlaRange="DropDown_RA_PA_LengthAndPercentage" noThreeD="1" sel="1" val="0"/>
</file>

<file path=xl/ctrlProps/ctrlProp239.xml><?xml version="1.0" encoding="utf-8"?>
<formControlPr xmlns="http://schemas.microsoft.com/office/spreadsheetml/2009/9/main" objectType="Drop" dropLines="14" dropStyle="combo" dx="22" fmlaLink="Calc!$D$75" fmlaRange="DropDown_RAAreaSelection" noThreeD="1" sel="1" val="0"/>
</file>

<file path=xl/ctrlProps/ctrlProp24.xml><?xml version="1.0" encoding="utf-8"?>
<formControlPr xmlns="http://schemas.microsoft.com/office/spreadsheetml/2009/9/main" objectType="Drop" dropLines="5" dropStyle="combo" dx="22" fmlaLink="$L$18" fmlaRange="Dropdown_Role" noThreeD="1" sel="1" val="0"/>
</file>

<file path=xl/ctrlProps/ctrlProp240.xml><?xml version="1.0" encoding="utf-8"?>
<formControlPr xmlns="http://schemas.microsoft.com/office/spreadsheetml/2009/9/main" objectType="Drop" dropStyle="combo" dx="22" fmlaLink="Calc!$E$75" fmlaRange="DropDown_RA_PA" noThreeD="1" sel="1" val="0"/>
</file>

<file path=xl/ctrlProps/ctrlProp241.xml><?xml version="1.0" encoding="utf-8"?>
<formControlPr xmlns="http://schemas.microsoft.com/office/spreadsheetml/2009/9/main" objectType="Drop" dropStyle="combo" dx="22" fmlaLink="Calc!$F$75" fmlaRange="DropDown_RA_PA_LengthAndPercentage" noThreeD="1" sel="1" val="0"/>
</file>

<file path=xl/ctrlProps/ctrlProp242.xml><?xml version="1.0" encoding="utf-8"?>
<formControlPr xmlns="http://schemas.microsoft.com/office/spreadsheetml/2009/9/main" objectType="Drop" dropLines="4" dropStyle="combo" dx="22" fmlaLink="$Y$11" fmlaRange="DropDown_Period" noThreeD="1" sel="1" val="0"/>
</file>

<file path=xl/ctrlProps/ctrlProp243.xml><?xml version="1.0" encoding="utf-8"?>
<formControlPr xmlns="http://schemas.microsoft.com/office/spreadsheetml/2009/9/main" objectType="Drop" dropLines="4" dropStyle="combo" dx="22" fmlaLink="$Y$12" fmlaRange="DropDown_Period" noThreeD="1" sel="1" val="0"/>
</file>

<file path=xl/ctrlProps/ctrlProp244.xml><?xml version="1.0" encoding="utf-8"?>
<formControlPr xmlns="http://schemas.microsoft.com/office/spreadsheetml/2009/9/main" objectType="Drop" dropLines="4" dropStyle="combo" dx="22" fmlaLink="$Y$13" fmlaRange="DropDown_Period" noThreeD="1" sel="1" val="0"/>
</file>

<file path=xl/ctrlProps/ctrlProp245.xml><?xml version="1.0" encoding="utf-8"?>
<formControlPr xmlns="http://schemas.microsoft.com/office/spreadsheetml/2009/9/main" objectType="Drop" dropLines="4" dropStyle="combo" dx="22" fmlaLink="$Y$14" fmlaRange="DropDown_Period" noThreeD="1" sel="1" val="0"/>
</file>

<file path=xl/ctrlProps/ctrlProp246.xml><?xml version="1.0" encoding="utf-8"?>
<formControlPr xmlns="http://schemas.microsoft.com/office/spreadsheetml/2009/9/main" objectType="Drop" dropLines="4" dropStyle="combo" dx="22" fmlaLink="$Y$15" fmlaRange="DropDown_Period" noThreeD="1" sel="1" val="0"/>
</file>

<file path=xl/ctrlProps/ctrlProp247.xml><?xml version="1.0" encoding="utf-8"?>
<formControlPr xmlns="http://schemas.microsoft.com/office/spreadsheetml/2009/9/main" objectType="Drop" dropLines="4" dropStyle="combo" dx="22" fmlaLink="$Y$16" fmlaRange="DropDown_Period" noThreeD="1" sel="1" val="0"/>
</file>

<file path=xl/ctrlProps/ctrlProp248.xml><?xml version="1.0" encoding="utf-8"?>
<formControlPr xmlns="http://schemas.microsoft.com/office/spreadsheetml/2009/9/main" objectType="Drop" dropLines="4" dropStyle="combo" dx="22" fmlaLink="$Y$17" fmlaRange="DropDown_Period" noThreeD="1" sel="1" val="0"/>
</file>

<file path=xl/ctrlProps/ctrlProp249.xml><?xml version="1.0" encoding="utf-8"?>
<formControlPr xmlns="http://schemas.microsoft.com/office/spreadsheetml/2009/9/main" objectType="Drop" dropLines="4" dropStyle="combo" dx="22" fmlaLink="Y$18" fmlaRange="DropDown_Period" noThreeD="1" sel="1" val="0"/>
</file>

<file path=xl/ctrlProps/ctrlProp25.xml><?xml version="1.0" encoding="utf-8"?>
<formControlPr xmlns="http://schemas.microsoft.com/office/spreadsheetml/2009/9/main" objectType="Drop" dropLines="5" dropStyle="combo" dx="22" fmlaLink="$L$19" fmlaRange="Dropdown_Role" noThreeD="1" sel="1" val="0"/>
</file>

<file path=xl/ctrlProps/ctrlProp250.xml><?xml version="1.0" encoding="utf-8"?>
<formControlPr xmlns="http://schemas.microsoft.com/office/spreadsheetml/2009/9/main" objectType="Drop" dropLines="4" dropStyle="combo" dx="22" fmlaLink="$Y$19" fmlaRange="DropDown_Period" noThreeD="1" sel="1" val="0"/>
</file>

<file path=xl/ctrlProps/ctrlProp251.xml><?xml version="1.0" encoding="utf-8"?>
<formControlPr xmlns="http://schemas.microsoft.com/office/spreadsheetml/2009/9/main" objectType="Drop" dropLines="4" dropStyle="combo" dx="22" fmlaLink="$Y$20" fmlaRange="DropDown_Period" noThreeD="1" sel="1" val="0"/>
</file>

<file path=xl/ctrlProps/ctrlProp252.xml><?xml version="1.0" encoding="utf-8"?>
<formControlPr xmlns="http://schemas.microsoft.com/office/spreadsheetml/2009/9/main" objectType="Drop" dropLines="4" dropStyle="combo" dx="22" fmlaLink="$Y$21" fmlaRange="DropDown_Period" noThreeD="1" sel="1" val="0"/>
</file>

<file path=xl/ctrlProps/ctrlProp253.xml><?xml version="1.0" encoding="utf-8"?>
<formControlPr xmlns="http://schemas.microsoft.com/office/spreadsheetml/2009/9/main" objectType="Drop" dropLines="4" dropStyle="combo" dx="22" fmlaLink="$Y$22" fmlaRange="DropDown_Period" noThreeD="1" sel="1" val="0"/>
</file>

<file path=xl/ctrlProps/ctrlProp254.xml><?xml version="1.0" encoding="utf-8"?>
<formControlPr xmlns="http://schemas.microsoft.com/office/spreadsheetml/2009/9/main" objectType="Drop" dropLines="4" dropStyle="combo" dx="22" fmlaLink="$Y$23" fmlaRange="DropDown_Period" noThreeD="1" sel="1" val="0"/>
</file>

<file path=xl/ctrlProps/ctrlProp255.xml><?xml version="1.0" encoding="utf-8"?>
<formControlPr xmlns="http://schemas.microsoft.com/office/spreadsheetml/2009/9/main" objectType="Drop" dropLines="4" dropStyle="combo" dx="22" fmlaLink="$Y$24" fmlaRange="DropDown_Period" noThreeD="1" sel="1" val="0"/>
</file>

<file path=xl/ctrlProps/ctrlProp256.xml><?xml version="1.0" encoding="utf-8"?>
<formControlPr xmlns="http://schemas.microsoft.com/office/spreadsheetml/2009/9/main" objectType="Drop" dropLines="4" dropStyle="combo" dx="22" fmlaLink="$Y$25" fmlaRange="DropDown_Period" noThreeD="1" sel="1" val="0"/>
</file>

<file path=xl/ctrlProps/ctrlProp257.xml><?xml version="1.0" encoding="utf-8"?>
<formControlPr xmlns="http://schemas.microsoft.com/office/spreadsheetml/2009/9/main" objectType="Drop" dropLines="4" dropStyle="combo" dx="22" fmlaLink="$Y$26" fmlaRange="DropDown_Period" noThreeD="1" sel="1" val="0"/>
</file>

<file path=xl/ctrlProps/ctrlProp258.xml><?xml version="1.0" encoding="utf-8"?>
<formControlPr xmlns="http://schemas.microsoft.com/office/spreadsheetml/2009/9/main" objectType="Drop" dropLines="4" dropStyle="combo" dx="22" fmlaLink="$Y$27" fmlaRange="DropDown_Period" noThreeD="1" sel="1" val="0"/>
</file>

<file path=xl/ctrlProps/ctrlProp259.xml><?xml version="1.0" encoding="utf-8"?>
<formControlPr xmlns="http://schemas.microsoft.com/office/spreadsheetml/2009/9/main" objectType="Drop" dropLines="4" dropStyle="combo" dx="22" fmlaLink="$Y$28" fmlaRange="DropDown_Period" noThreeD="1" sel="1" val="0"/>
</file>

<file path=xl/ctrlProps/ctrlProp26.xml><?xml version="1.0" encoding="utf-8"?>
<formControlPr xmlns="http://schemas.microsoft.com/office/spreadsheetml/2009/9/main" objectType="Drop" dropLines="5" dropStyle="combo" dx="22" fmlaLink="$L$20" fmlaRange="Dropdown_Role" noThreeD="1" sel="1" val="0"/>
</file>

<file path=xl/ctrlProps/ctrlProp260.xml><?xml version="1.0" encoding="utf-8"?>
<formControlPr xmlns="http://schemas.microsoft.com/office/spreadsheetml/2009/9/main" objectType="Drop" dropLines="4" dropStyle="combo" dx="22" fmlaLink="$Y$29" fmlaRange="DropDown_Period" noThreeD="1" sel="1" val="0"/>
</file>

<file path=xl/ctrlProps/ctrlProp261.xml><?xml version="1.0" encoding="utf-8"?>
<formControlPr xmlns="http://schemas.microsoft.com/office/spreadsheetml/2009/9/main" objectType="Drop" dropLines="4" dropStyle="combo" dx="22" fmlaLink="$Y$30" fmlaRange="DropDown_Period" noThreeD="1" sel="1" val="0"/>
</file>

<file path=xl/ctrlProps/ctrlProp262.xml><?xml version="1.0" encoding="utf-8"?>
<formControlPr xmlns="http://schemas.microsoft.com/office/spreadsheetml/2009/9/main" objectType="Drop" dropLines="14" dropStyle="combo" dx="22" fmlaLink="Calc!$D$81" fmlaRange="DropDown_RAAreaSelection" noThreeD="1" sel="1" val="0"/>
</file>

<file path=xl/ctrlProps/ctrlProp263.xml><?xml version="1.0" encoding="utf-8"?>
<formControlPr xmlns="http://schemas.microsoft.com/office/spreadsheetml/2009/9/main" objectType="Drop" dropStyle="combo" dx="22" fmlaLink="Calc!$E$81" fmlaRange="DropDown_RA_PA" noThreeD="1" sel="1" val="0"/>
</file>

<file path=xl/ctrlProps/ctrlProp264.xml><?xml version="1.0" encoding="utf-8"?>
<formControlPr xmlns="http://schemas.microsoft.com/office/spreadsheetml/2009/9/main" objectType="Drop" dropStyle="combo" dx="22" fmlaLink="Calc!$F$81" fmlaRange="DropDown_RA_PA_LengthAndPercentage" noThreeD="1" sel="1" val="0"/>
</file>

<file path=xl/ctrlProps/ctrlProp265.xml><?xml version="1.0" encoding="utf-8"?>
<formControlPr xmlns="http://schemas.microsoft.com/office/spreadsheetml/2009/9/main" objectType="Drop" dropLines="14" dropStyle="combo" dx="22" fmlaLink="Calc!$D$82" fmlaRange="DropDown_RAAreaSelection" noThreeD="1" sel="1" val="0"/>
</file>

<file path=xl/ctrlProps/ctrlProp266.xml><?xml version="1.0" encoding="utf-8"?>
<formControlPr xmlns="http://schemas.microsoft.com/office/spreadsheetml/2009/9/main" objectType="Drop" dropStyle="combo" dx="22" fmlaLink="Calc!$E$82" fmlaRange="DropDown_RA_PA" noThreeD="1" sel="1" val="0"/>
</file>

<file path=xl/ctrlProps/ctrlProp267.xml><?xml version="1.0" encoding="utf-8"?>
<formControlPr xmlns="http://schemas.microsoft.com/office/spreadsheetml/2009/9/main" objectType="Drop" dropStyle="combo" dx="22" fmlaLink="Calc!$F$82" fmlaRange="DropDown_RA_PA_LengthAndPercentage" noThreeD="1" sel="1" val="0"/>
</file>

<file path=xl/ctrlProps/ctrlProp268.xml><?xml version="1.0" encoding="utf-8"?>
<formControlPr xmlns="http://schemas.microsoft.com/office/spreadsheetml/2009/9/main" objectType="Drop" dropLines="14" dropStyle="combo" dx="22" fmlaLink="Calc!$D$83" fmlaRange="DropDown_RAAreaSelection" noThreeD="1" sel="1" val="0"/>
</file>

<file path=xl/ctrlProps/ctrlProp269.xml><?xml version="1.0" encoding="utf-8"?>
<formControlPr xmlns="http://schemas.microsoft.com/office/spreadsheetml/2009/9/main" objectType="Drop" dropStyle="combo" dx="22" fmlaLink="Calc!$E$83" fmlaRange="DropDown_RA_PA" noThreeD="1" sel="1" val="0"/>
</file>

<file path=xl/ctrlProps/ctrlProp27.xml><?xml version="1.0" encoding="utf-8"?>
<formControlPr xmlns="http://schemas.microsoft.com/office/spreadsheetml/2009/9/main" objectType="Drop" dropLines="5" dropStyle="combo" dx="22" fmlaLink="$L$21" fmlaRange="Dropdown_Role" noThreeD="1" sel="1" val="0"/>
</file>

<file path=xl/ctrlProps/ctrlProp270.xml><?xml version="1.0" encoding="utf-8"?>
<formControlPr xmlns="http://schemas.microsoft.com/office/spreadsheetml/2009/9/main" objectType="Drop" dropStyle="combo" dx="22" fmlaLink="Calc!$F$83" fmlaRange="DropDown_RA_PA_LengthAndPercentage" noThreeD="1" sel="1" val="0"/>
</file>

<file path=xl/ctrlProps/ctrlProp271.xml><?xml version="1.0" encoding="utf-8"?>
<formControlPr xmlns="http://schemas.microsoft.com/office/spreadsheetml/2009/9/main" objectType="Drop" dropLines="14" dropStyle="combo" dx="22" fmlaLink="Calc!$D$84" fmlaRange="DropDown_RAAreaSelection" noThreeD="1" sel="1" val="0"/>
</file>

<file path=xl/ctrlProps/ctrlProp272.xml><?xml version="1.0" encoding="utf-8"?>
<formControlPr xmlns="http://schemas.microsoft.com/office/spreadsheetml/2009/9/main" objectType="Drop" dropStyle="combo" dx="22" fmlaLink="Calc!$E$84" fmlaRange="DropDown_RA_PA" noThreeD="1" sel="1" val="0"/>
</file>

<file path=xl/ctrlProps/ctrlProp273.xml><?xml version="1.0" encoding="utf-8"?>
<formControlPr xmlns="http://schemas.microsoft.com/office/spreadsheetml/2009/9/main" objectType="Drop" dropStyle="combo" dx="22" fmlaLink="Calc!$F$84" fmlaRange="DropDown_RA_PA_LengthAndPercentage" noThreeD="1" sel="1" val="0"/>
</file>

<file path=xl/ctrlProps/ctrlProp274.xml><?xml version="1.0" encoding="utf-8"?>
<formControlPr xmlns="http://schemas.microsoft.com/office/spreadsheetml/2009/9/main" objectType="Drop" dropLines="14" dropStyle="combo" dx="22" fmlaLink="Calc!$D$80" fmlaRange="DropDown_RAAreaSelection" noThreeD="1" sel="1" val="0"/>
</file>

<file path=xl/ctrlProps/ctrlProp275.xml><?xml version="1.0" encoding="utf-8"?>
<formControlPr xmlns="http://schemas.microsoft.com/office/spreadsheetml/2009/9/main" objectType="Drop" dropStyle="combo" dx="22" fmlaLink="Calc!$E$80" fmlaRange="DropDown_RA_PA" noThreeD="1" sel="1" val="0"/>
</file>

<file path=xl/ctrlProps/ctrlProp276.xml><?xml version="1.0" encoding="utf-8"?>
<formControlPr xmlns="http://schemas.microsoft.com/office/spreadsheetml/2009/9/main" objectType="Drop" dropStyle="combo" dx="22" fmlaLink="Calc!$F$80" fmlaRange="DropDown_RA_PA_LengthAndPercentage" noThreeD="1" sel="1" val="0"/>
</file>

<file path=xl/ctrlProps/ctrlProp277.xml><?xml version="1.0" encoding="utf-8"?>
<formControlPr xmlns="http://schemas.microsoft.com/office/spreadsheetml/2009/9/main" objectType="Drop" dropStyle="combo" dx="22" fmlaLink="$K$17" fmlaRange="DropDown_Modules" noThreeD="1" sel="1" val="0"/>
</file>

<file path=xl/ctrlProps/ctrlProp278.xml><?xml version="1.0" encoding="utf-8"?>
<formControlPr xmlns="http://schemas.microsoft.com/office/spreadsheetml/2009/9/main" objectType="Drop" dropStyle="combo" dx="22" fmlaLink="$M$17" fmlaRange="DropDown_Modules" noThreeD="1" sel="1" val="0"/>
</file>

<file path=xl/ctrlProps/ctrlProp279.xml><?xml version="1.0" encoding="utf-8"?>
<formControlPr xmlns="http://schemas.microsoft.com/office/spreadsheetml/2009/9/main" objectType="Drop" dropStyle="combo" dx="22" fmlaLink="$O$17" fmlaRange="DropDown_Modules" noThreeD="1" sel="1" val="0"/>
</file>

<file path=xl/ctrlProps/ctrlProp28.xml><?xml version="1.0" encoding="utf-8"?>
<formControlPr xmlns="http://schemas.microsoft.com/office/spreadsheetml/2009/9/main" objectType="Drop" dropLines="5" dropStyle="combo" dx="22" fmlaLink="$L$22" fmlaRange="Dropdown_Role" noThreeD="1" sel="1" val="0"/>
</file>

<file path=xl/ctrlProps/ctrlProp280.xml><?xml version="1.0" encoding="utf-8"?>
<formControlPr xmlns="http://schemas.microsoft.com/office/spreadsheetml/2009/9/main" objectType="Drop" dropStyle="combo" dx="22" fmlaLink="$Q$17" fmlaRange="DropDown_Modules" noThreeD="1" sel="1" val="0"/>
</file>

<file path=xl/ctrlProps/ctrlProp281.xml><?xml version="1.0" encoding="utf-8"?>
<formControlPr xmlns="http://schemas.microsoft.com/office/spreadsheetml/2009/9/main" objectType="Drop" dropLines="9" dropStyle="combo" dx="22" fmlaLink="$I$17" fmlaRange="DropDown_Modules" noThreeD="1" sel="1" val="0"/>
</file>

<file path=xl/ctrlProps/ctrlProp282.xml><?xml version="1.0" encoding="utf-8"?>
<formControlPr xmlns="http://schemas.microsoft.com/office/spreadsheetml/2009/9/main" objectType="Drop" dropStyle="combo" dx="22" fmlaLink="$Q$17" fmlaRange="DropDown_Modules" noThreeD="1" sel="1" val="0"/>
</file>

<file path=xl/ctrlProps/ctrlProp29.xml><?xml version="1.0" encoding="utf-8"?>
<formControlPr xmlns="http://schemas.microsoft.com/office/spreadsheetml/2009/9/main" objectType="Drop" dropLines="5" dropStyle="combo" dx="22" fmlaLink="$L$23" fmlaRange="Dropdown_Role" noThreeD="1" sel="1" val="0"/>
</file>

<file path=xl/ctrlProps/ctrlProp3.xml><?xml version="1.0" encoding="utf-8"?>
<formControlPr xmlns="http://schemas.microsoft.com/office/spreadsheetml/2009/9/main" objectType="Drop" dropLines="4" dropStyle="combo" dx="22" fmlaLink="'Drop-Down_Options'!$E$70" fmlaRange="DropDown_ProjectType" noThreeD="1" sel="1" val="0"/>
</file>

<file path=xl/ctrlProps/ctrlProp30.xml><?xml version="1.0" encoding="utf-8"?>
<formControlPr xmlns="http://schemas.microsoft.com/office/spreadsheetml/2009/9/main" objectType="Drop" dropLines="5" dropStyle="combo" dx="22" fmlaLink="$L$24" fmlaRange="Dropdown_Role" noThreeD="1" sel="1" val="0"/>
</file>

<file path=xl/ctrlProps/ctrlProp31.xml><?xml version="1.0" encoding="utf-8"?>
<formControlPr xmlns="http://schemas.microsoft.com/office/spreadsheetml/2009/9/main" objectType="Drop" dropLines="5" dropStyle="combo" dx="22" fmlaLink="$L$25" fmlaRange="Dropdown_Role" noThreeD="1" sel="1" val="0"/>
</file>

<file path=xl/ctrlProps/ctrlProp32.xml><?xml version="1.0" encoding="utf-8"?>
<formControlPr xmlns="http://schemas.microsoft.com/office/spreadsheetml/2009/9/main" objectType="Drop" dropLines="5" dropStyle="combo" dx="22" fmlaLink="$L$26" fmlaRange="Dropdown_Role" noThreeD="1" sel="1" val="0"/>
</file>

<file path=xl/ctrlProps/ctrlProp33.xml><?xml version="1.0" encoding="utf-8"?>
<formControlPr xmlns="http://schemas.microsoft.com/office/spreadsheetml/2009/9/main" objectType="Drop" dropLines="5" dropStyle="combo" dx="22" fmlaLink="$L$27" fmlaRange="Dropdown_Role" noThreeD="1" sel="1" val="0"/>
</file>

<file path=xl/ctrlProps/ctrlProp34.xml><?xml version="1.0" encoding="utf-8"?>
<formControlPr xmlns="http://schemas.microsoft.com/office/spreadsheetml/2009/9/main" objectType="Drop" dropLines="5" dropStyle="combo" dx="22" fmlaLink="$L$28" fmlaRange="Dropdown_Role" noThreeD="1" sel="1" val="0"/>
</file>

<file path=xl/ctrlProps/ctrlProp35.xml><?xml version="1.0" encoding="utf-8"?>
<formControlPr xmlns="http://schemas.microsoft.com/office/spreadsheetml/2009/9/main" objectType="Drop" dropLines="5" dropStyle="combo" dx="22" fmlaLink="$L$29" fmlaRange="Dropdown_Role" noThreeD="1" sel="1" val="0"/>
</file>

<file path=xl/ctrlProps/ctrlProp36.xml><?xml version="1.0" encoding="utf-8"?>
<formControlPr xmlns="http://schemas.microsoft.com/office/spreadsheetml/2009/9/main" objectType="Drop" dropLines="5" dropStyle="combo" dx="22" fmlaLink="$L$30" fmlaRange="Dropdown_Role" noThreeD="1" sel="1" val="0"/>
</file>

<file path=xl/ctrlProps/ctrlProp37.xml><?xml version="1.0" encoding="utf-8"?>
<formControlPr xmlns="http://schemas.microsoft.com/office/spreadsheetml/2009/9/main" objectType="Drop" dropLines="5" dropStyle="combo" dx="22" fmlaLink="$O$12" fmlaRange="DropDown_PayBasis" noThreeD="1" sel="1" val="0"/>
</file>

<file path=xl/ctrlProps/ctrlProp38.xml><?xml version="1.0" encoding="utf-8"?>
<formControlPr xmlns="http://schemas.microsoft.com/office/spreadsheetml/2009/9/main" objectType="Drop" dropLines="5" dropStyle="combo" dx="22" fmlaLink="$O$13" fmlaRange="DropDown_PayBasis" noThreeD="1" sel="1" val="0"/>
</file>

<file path=xl/ctrlProps/ctrlProp39.xml><?xml version="1.0" encoding="utf-8"?>
<formControlPr xmlns="http://schemas.microsoft.com/office/spreadsheetml/2009/9/main" objectType="Drop" dropLines="5" dropStyle="combo" dx="22" fmlaLink="$O$14" fmlaRange="DropDown_PayBasis" noThreeD="1" sel="1" val="0"/>
</file>

<file path=xl/ctrlProps/ctrlProp4.xml><?xml version="1.0" encoding="utf-8"?>
<formControlPr xmlns="http://schemas.microsoft.com/office/spreadsheetml/2009/9/main" objectType="CheckBox" fmlaLink="Data_Exclude_SalariesWages" lockText="1" noThreeD="1"/>
</file>

<file path=xl/ctrlProps/ctrlProp40.xml><?xml version="1.0" encoding="utf-8"?>
<formControlPr xmlns="http://schemas.microsoft.com/office/spreadsheetml/2009/9/main" objectType="Drop" dropLines="5" dropStyle="combo" dx="22" fmlaLink="$O$15" fmlaRange="DropDown_PayBasis" noThreeD="1" sel="1" val="0"/>
</file>

<file path=xl/ctrlProps/ctrlProp41.xml><?xml version="1.0" encoding="utf-8"?>
<formControlPr xmlns="http://schemas.microsoft.com/office/spreadsheetml/2009/9/main" objectType="Drop" dropLines="5" dropStyle="combo" dx="22" fmlaLink="$O$16" fmlaRange="DropDown_PayBasis" noThreeD="1" sel="1" val="0"/>
</file>

<file path=xl/ctrlProps/ctrlProp42.xml><?xml version="1.0" encoding="utf-8"?>
<formControlPr xmlns="http://schemas.microsoft.com/office/spreadsheetml/2009/9/main" objectType="Drop" dropLines="5" dropStyle="combo" dx="22" fmlaLink="$O$17" fmlaRange="DropDown_PayBasis" noThreeD="1" sel="1" val="0"/>
</file>

<file path=xl/ctrlProps/ctrlProp43.xml><?xml version="1.0" encoding="utf-8"?>
<formControlPr xmlns="http://schemas.microsoft.com/office/spreadsheetml/2009/9/main" objectType="Drop" dropLines="5" dropStyle="combo" dx="22" fmlaLink="$O$18" fmlaRange="DropDown_PayBasis" noThreeD="1" sel="1" val="0"/>
</file>

<file path=xl/ctrlProps/ctrlProp44.xml><?xml version="1.0" encoding="utf-8"?>
<formControlPr xmlns="http://schemas.microsoft.com/office/spreadsheetml/2009/9/main" objectType="Drop" dropLines="5" dropStyle="combo" dx="22" fmlaLink="$O$19" fmlaRange="DropDown_PayBasis" noThreeD="1" sel="1" val="0"/>
</file>

<file path=xl/ctrlProps/ctrlProp45.xml><?xml version="1.0" encoding="utf-8"?>
<formControlPr xmlns="http://schemas.microsoft.com/office/spreadsheetml/2009/9/main" objectType="Drop" dropLines="5" dropStyle="combo" dx="22" fmlaLink="$O$20" fmlaRange="DropDown_PayBasis" noThreeD="1" sel="1" val="0"/>
</file>

<file path=xl/ctrlProps/ctrlProp46.xml><?xml version="1.0" encoding="utf-8"?>
<formControlPr xmlns="http://schemas.microsoft.com/office/spreadsheetml/2009/9/main" objectType="Drop" dropLines="5" dropStyle="combo" dx="22" fmlaLink="$O$21" fmlaRange="DropDown_PayBasis" noThreeD="1" sel="1" val="0"/>
</file>

<file path=xl/ctrlProps/ctrlProp47.xml><?xml version="1.0" encoding="utf-8"?>
<formControlPr xmlns="http://schemas.microsoft.com/office/spreadsheetml/2009/9/main" objectType="Drop" dropLines="5" dropStyle="combo" dx="22" fmlaLink="$O$22" fmlaRange="DropDown_PayBasis" noThreeD="1" sel="1" val="0"/>
</file>

<file path=xl/ctrlProps/ctrlProp48.xml><?xml version="1.0" encoding="utf-8"?>
<formControlPr xmlns="http://schemas.microsoft.com/office/spreadsheetml/2009/9/main" objectType="Drop" dropLines="5" dropStyle="combo" dx="22" fmlaLink="$O$23" fmlaRange="DropDown_PayBasis" noThreeD="1" sel="1" val="0"/>
</file>

<file path=xl/ctrlProps/ctrlProp49.xml><?xml version="1.0" encoding="utf-8"?>
<formControlPr xmlns="http://schemas.microsoft.com/office/spreadsheetml/2009/9/main" objectType="Drop" dropLines="5" dropStyle="combo" dx="22" fmlaLink="$O$24" fmlaRange="DropDown_PayBasis" noThreeD="1" sel="1" val="0"/>
</file>

<file path=xl/ctrlProps/ctrlProp5.xml><?xml version="1.0" encoding="utf-8"?>
<formControlPr xmlns="http://schemas.microsoft.com/office/spreadsheetml/2009/9/main" objectType="CheckBox" fmlaLink="Data_Exclude_Fringes" lockText="1" noThreeD="1"/>
</file>

<file path=xl/ctrlProps/ctrlProp50.xml><?xml version="1.0" encoding="utf-8"?>
<formControlPr xmlns="http://schemas.microsoft.com/office/spreadsheetml/2009/9/main" objectType="Drop" dropLines="5" dropStyle="combo" dx="22" fmlaLink="$O$25" fmlaRange="DropDown_PayBasis" noThreeD="1" sel="1" val="0"/>
</file>

<file path=xl/ctrlProps/ctrlProp51.xml><?xml version="1.0" encoding="utf-8"?>
<formControlPr xmlns="http://schemas.microsoft.com/office/spreadsheetml/2009/9/main" objectType="Drop" dropLines="5" dropStyle="combo" dx="22" fmlaLink="$O$26" fmlaRange="DropDown_PayBasis" noThreeD="1" sel="1" val="0"/>
</file>

<file path=xl/ctrlProps/ctrlProp52.xml><?xml version="1.0" encoding="utf-8"?>
<formControlPr xmlns="http://schemas.microsoft.com/office/spreadsheetml/2009/9/main" objectType="Drop" dropLines="5" dropStyle="combo" dx="22" fmlaLink="$O$27" fmlaRange="DropDown_PayBasis" noThreeD="1" sel="1" val="0"/>
</file>

<file path=xl/ctrlProps/ctrlProp53.xml><?xml version="1.0" encoding="utf-8"?>
<formControlPr xmlns="http://schemas.microsoft.com/office/spreadsheetml/2009/9/main" objectType="Drop" dropLines="5" dropStyle="combo" dx="22" fmlaLink="$O$28" fmlaRange="DropDown_PayBasis" noThreeD="1" sel="1" val="0"/>
</file>

<file path=xl/ctrlProps/ctrlProp54.xml><?xml version="1.0" encoding="utf-8"?>
<formControlPr xmlns="http://schemas.microsoft.com/office/spreadsheetml/2009/9/main" objectType="Drop" dropLines="5" dropStyle="combo" dx="22" fmlaLink="$O$29" fmlaRange="DropDown_PayBasis" noThreeD="1" sel="1" val="0"/>
</file>

<file path=xl/ctrlProps/ctrlProp55.xml><?xml version="1.0" encoding="utf-8"?>
<formControlPr xmlns="http://schemas.microsoft.com/office/spreadsheetml/2009/9/main" objectType="Drop" dropLines="5" dropStyle="combo" dx="22" fmlaLink="$O$30" fmlaRange="DropDown_PayBasis" noThreeD="1" sel="1" val="0"/>
</file>

<file path=xl/ctrlProps/ctrlProp56.xml><?xml version="1.0" encoding="utf-8"?>
<formControlPr xmlns="http://schemas.microsoft.com/office/spreadsheetml/2009/9/main" objectType="Drop" dropLines="4" dropStyle="combo" dx="22" fmlaLink="$Y$12" fmlaRange="DropDown_Period" noThreeD="1" sel="1" val="0"/>
</file>

<file path=xl/ctrlProps/ctrlProp57.xml><?xml version="1.0" encoding="utf-8"?>
<formControlPr xmlns="http://schemas.microsoft.com/office/spreadsheetml/2009/9/main" objectType="Drop" dropLines="4" dropStyle="combo" dx="22" fmlaLink="$Y$13" fmlaRange="DropDown_Period" noThreeD="1" sel="1" val="0"/>
</file>

<file path=xl/ctrlProps/ctrlProp58.xml><?xml version="1.0" encoding="utf-8"?>
<formControlPr xmlns="http://schemas.microsoft.com/office/spreadsheetml/2009/9/main" objectType="Drop" dropLines="4" dropStyle="combo" dx="22" fmlaLink="$Y$14" fmlaRange="DropDown_Period" noThreeD="1" sel="1" val="0"/>
</file>

<file path=xl/ctrlProps/ctrlProp59.xml><?xml version="1.0" encoding="utf-8"?>
<formControlPr xmlns="http://schemas.microsoft.com/office/spreadsheetml/2009/9/main" objectType="Drop" dropLines="4" dropStyle="combo" dx="22" fmlaLink="$Y$15" fmlaRange="DropDown_Period" noThreeD="1" sel="1" val="0"/>
</file>

<file path=xl/ctrlProps/ctrlProp6.xml><?xml version="1.0" encoding="utf-8"?>
<formControlPr xmlns="http://schemas.microsoft.com/office/spreadsheetml/2009/9/main" objectType="CheckBox" fmlaLink="Data_Exclude_Tuition" lockText="1" noThreeD="1"/>
</file>

<file path=xl/ctrlProps/ctrlProp60.xml><?xml version="1.0" encoding="utf-8"?>
<formControlPr xmlns="http://schemas.microsoft.com/office/spreadsheetml/2009/9/main" objectType="Drop" dropLines="4" dropStyle="combo" dx="22" fmlaLink="$Y$16" fmlaRange="DropDown_Period" noThreeD="1" sel="1" val="0"/>
</file>

<file path=xl/ctrlProps/ctrlProp61.xml><?xml version="1.0" encoding="utf-8"?>
<formControlPr xmlns="http://schemas.microsoft.com/office/spreadsheetml/2009/9/main" objectType="Drop" dropLines="4" dropStyle="combo" dx="22" fmlaLink="$Y$17" fmlaRange="DropDown_Period" noThreeD="1" sel="1" val="0"/>
</file>

<file path=xl/ctrlProps/ctrlProp62.xml><?xml version="1.0" encoding="utf-8"?>
<formControlPr xmlns="http://schemas.microsoft.com/office/spreadsheetml/2009/9/main" objectType="Drop" dropLines="4" dropStyle="combo" dx="22" fmlaLink="Y$18" fmlaRange="DropDown_Period" noThreeD="1" sel="1" val="0"/>
</file>

<file path=xl/ctrlProps/ctrlProp63.xml><?xml version="1.0" encoding="utf-8"?>
<formControlPr xmlns="http://schemas.microsoft.com/office/spreadsheetml/2009/9/main" objectType="Drop" dropLines="4" dropStyle="combo" dx="22" fmlaLink="$Y$19" fmlaRange="DropDown_Period" noThreeD="1" sel="1" val="0"/>
</file>

<file path=xl/ctrlProps/ctrlProp64.xml><?xml version="1.0" encoding="utf-8"?>
<formControlPr xmlns="http://schemas.microsoft.com/office/spreadsheetml/2009/9/main" objectType="Drop" dropLines="4" dropStyle="combo" dx="22" fmlaLink="$Y$20" fmlaRange="DropDown_Period" noThreeD="1" sel="1" val="0"/>
</file>

<file path=xl/ctrlProps/ctrlProp65.xml><?xml version="1.0" encoding="utf-8"?>
<formControlPr xmlns="http://schemas.microsoft.com/office/spreadsheetml/2009/9/main" objectType="Drop" dropLines="4" dropStyle="combo" dx="22" fmlaLink="$Y$21" fmlaRange="DropDown_Period" noThreeD="1" sel="1" val="0"/>
</file>

<file path=xl/ctrlProps/ctrlProp66.xml><?xml version="1.0" encoding="utf-8"?>
<formControlPr xmlns="http://schemas.microsoft.com/office/spreadsheetml/2009/9/main" objectType="Drop" dropLines="4" dropStyle="combo" dx="22" fmlaLink="$Y$22" fmlaRange="DropDown_Period" noThreeD="1" sel="1" val="0"/>
</file>

<file path=xl/ctrlProps/ctrlProp67.xml><?xml version="1.0" encoding="utf-8"?>
<formControlPr xmlns="http://schemas.microsoft.com/office/spreadsheetml/2009/9/main" objectType="Drop" dropLines="4" dropStyle="combo" dx="22" fmlaLink="$Y$23" fmlaRange="DropDown_Period" noThreeD="1" sel="1" val="0"/>
</file>

<file path=xl/ctrlProps/ctrlProp68.xml><?xml version="1.0" encoding="utf-8"?>
<formControlPr xmlns="http://schemas.microsoft.com/office/spreadsheetml/2009/9/main" objectType="Drop" dropLines="4" dropStyle="combo" dx="22" fmlaLink="$Y$24" fmlaRange="DropDown_Period" noThreeD="1" sel="1" val="0"/>
</file>

<file path=xl/ctrlProps/ctrlProp69.xml><?xml version="1.0" encoding="utf-8"?>
<formControlPr xmlns="http://schemas.microsoft.com/office/spreadsheetml/2009/9/main" objectType="Drop" dropLines="4" dropStyle="combo" dx="22" fmlaLink="$Y$25" fmlaRange="DropDown_Period" noThreeD="1" sel="1" val="0"/>
</file>

<file path=xl/ctrlProps/ctrlProp7.xml><?xml version="1.0" encoding="utf-8"?>
<formControlPr xmlns="http://schemas.microsoft.com/office/spreadsheetml/2009/9/main" objectType="CheckBox" fmlaLink="Data_Exclude_Equipment" lockText="1" noThreeD="1"/>
</file>

<file path=xl/ctrlProps/ctrlProp70.xml><?xml version="1.0" encoding="utf-8"?>
<formControlPr xmlns="http://schemas.microsoft.com/office/spreadsheetml/2009/9/main" objectType="Drop" dropLines="4" dropStyle="combo" dx="22" fmlaLink="$Y$26" fmlaRange="DropDown_Period" noThreeD="1" sel="1" val="0"/>
</file>

<file path=xl/ctrlProps/ctrlProp71.xml><?xml version="1.0" encoding="utf-8"?>
<formControlPr xmlns="http://schemas.microsoft.com/office/spreadsheetml/2009/9/main" objectType="Drop" dropLines="4" dropStyle="combo" dx="22" fmlaLink="$Y$27" fmlaRange="DropDown_Period" noThreeD="1" sel="1" val="0"/>
</file>

<file path=xl/ctrlProps/ctrlProp72.xml><?xml version="1.0" encoding="utf-8"?>
<formControlPr xmlns="http://schemas.microsoft.com/office/spreadsheetml/2009/9/main" objectType="Drop" dropLines="4" dropStyle="combo" dx="22" fmlaLink="$Y$28" fmlaRange="DropDown_Period" noThreeD="1" sel="1" val="0"/>
</file>

<file path=xl/ctrlProps/ctrlProp73.xml><?xml version="1.0" encoding="utf-8"?>
<formControlPr xmlns="http://schemas.microsoft.com/office/spreadsheetml/2009/9/main" objectType="Drop" dropLines="4" dropStyle="combo" dx="22" fmlaLink="$Y$29" fmlaRange="DropDown_Period" noThreeD="1" sel="1" val="0"/>
</file>

<file path=xl/ctrlProps/ctrlProp74.xml><?xml version="1.0" encoding="utf-8"?>
<formControlPr xmlns="http://schemas.microsoft.com/office/spreadsheetml/2009/9/main" objectType="Drop" dropLines="4" dropStyle="combo" dx="22" fmlaLink="$Y$30" fmlaRange="DropDown_Period" noThreeD="1" sel="1" val="0"/>
</file>

<file path=xl/ctrlProps/ctrlProp75.xml><?xml version="1.0" encoding="utf-8"?>
<formControlPr xmlns="http://schemas.microsoft.com/office/spreadsheetml/2009/9/main" objectType="Drop" dropLines="14" dropStyle="combo" dx="22" fmlaLink="Calc!$D$56" fmlaRange="DropDown_RAAreaSelection" noThreeD="1" sel="1" val="0"/>
</file>

<file path=xl/ctrlProps/ctrlProp76.xml><?xml version="1.0" encoding="utf-8"?>
<formControlPr xmlns="http://schemas.microsoft.com/office/spreadsheetml/2009/9/main" objectType="Drop" dropStyle="combo" dx="22" fmlaLink="Calc!$E$56" fmlaRange="DropDown_RA_PA" noThreeD="1" sel="1" val="0"/>
</file>

<file path=xl/ctrlProps/ctrlProp77.xml><?xml version="1.0" encoding="utf-8"?>
<formControlPr xmlns="http://schemas.microsoft.com/office/spreadsheetml/2009/9/main" objectType="Drop" dropStyle="combo" dx="22" fmlaLink="Calc!$F$56" fmlaRange="DropDown_RA_PA_LengthAndPercentage" noThreeD="1" sel="1" val="0"/>
</file>

<file path=xl/ctrlProps/ctrlProp78.xml><?xml version="1.0" encoding="utf-8"?>
<formControlPr xmlns="http://schemas.microsoft.com/office/spreadsheetml/2009/9/main" objectType="Drop" dropLines="14" dropStyle="combo" dx="22" fmlaLink="Calc!$D$57" fmlaRange="DropDown_RAAreaSelection" noThreeD="1" sel="1" val="0"/>
</file>

<file path=xl/ctrlProps/ctrlProp79.xml><?xml version="1.0" encoding="utf-8"?>
<formControlPr xmlns="http://schemas.microsoft.com/office/spreadsheetml/2009/9/main" objectType="Drop" dropStyle="combo" dx="22" fmlaLink="Calc!$E$57" fmlaRange="DropDown_RA_PA" noThreeD="1" sel="1" val="0"/>
</file>

<file path=xl/ctrlProps/ctrlProp8.xml><?xml version="1.0" encoding="utf-8"?>
<formControlPr xmlns="http://schemas.microsoft.com/office/spreadsheetml/2009/9/main" objectType="CheckBox" fmlaLink="Data_Exclude_Travel" lockText="1" noThreeD="1"/>
</file>

<file path=xl/ctrlProps/ctrlProp80.xml><?xml version="1.0" encoding="utf-8"?>
<formControlPr xmlns="http://schemas.microsoft.com/office/spreadsheetml/2009/9/main" objectType="Drop" dropStyle="combo" dx="22" fmlaLink="Calc!$F$57" fmlaRange="DropDown_RA_PA_LengthAndPercentage" noThreeD="1" sel="1" val="0"/>
</file>

<file path=xl/ctrlProps/ctrlProp81.xml><?xml version="1.0" encoding="utf-8"?>
<formControlPr xmlns="http://schemas.microsoft.com/office/spreadsheetml/2009/9/main" objectType="Drop" dropLines="14" dropStyle="combo" dx="22" fmlaLink="Calc!$D$58" fmlaRange="DropDown_RAAreaSelection" noThreeD="1" sel="1" val="0"/>
</file>

<file path=xl/ctrlProps/ctrlProp82.xml><?xml version="1.0" encoding="utf-8"?>
<formControlPr xmlns="http://schemas.microsoft.com/office/spreadsheetml/2009/9/main" objectType="Drop" dropStyle="combo" dx="22" fmlaLink="Calc!$E$58" fmlaRange="DropDown_RA_PA" noThreeD="1" sel="1" val="0"/>
</file>

<file path=xl/ctrlProps/ctrlProp83.xml><?xml version="1.0" encoding="utf-8"?>
<formControlPr xmlns="http://schemas.microsoft.com/office/spreadsheetml/2009/9/main" objectType="Drop" dropStyle="combo" dx="22" fmlaLink="Calc!$F$58" fmlaRange="DropDown_RA_PA_LengthAndPercentage" noThreeD="1" sel="1" val="0"/>
</file>

<file path=xl/ctrlProps/ctrlProp84.xml><?xml version="1.0" encoding="utf-8"?>
<formControlPr xmlns="http://schemas.microsoft.com/office/spreadsheetml/2009/9/main" objectType="Drop" dropLines="14" dropStyle="combo" dx="22" fmlaLink="Calc!$D$59" fmlaRange="DropDown_RAAreaSelection" noThreeD="1" sel="1" val="0"/>
</file>

<file path=xl/ctrlProps/ctrlProp85.xml><?xml version="1.0" encoding="utf-8"?>
<formControlPr xmlns="http://schemas.microsoft.com/office/spreadsheetml/2009/9/main" objectType="Drop" dropStyle="combo" dx="22" fmlaLink="Calc!$E$59" fmlaRange="DropDown_RA_PA" noThreeD="1" sel="1" val="0"/>
</file>

<file path=xl/ctrlProps/ctrlProp86.xml><?xml version="1.0" encoding="utf-8"?>
<formControlPr xmlns="http://schemas.microsoft.com/office/spreadsheetml/2009/9/main" objectType="Drop" dropStyle="combo" dx="22" fmlaLink="Calc!$F$59" fmlaRange="DropDown_RA_PA_LengthAndPercentage" noThreeD="1" sel="4" val="0"/>
</file>

<file path=xl/ctrlProps/ctrlProp87.xml><?xml version="1.0" encoding="utf-8"?>
<formControlPr xmlns="http://schemas.microsoft.com/office/spreadsheetml/2009/9/main" objectType="Drop" dropLines="14" dropStyle="combo" dx="22" fmlaLink="Calc!$D$55" fmlaRange="DropDown_RAAreaSelection" noThreeD="1" sel="1" val="0"/>
</file>

<file path=xl/ctrlProps/ctrlProp88.xml><?xml version="1.0" encoding="utf-8"?>
<formControlPr xmlns="http://schemas.microsoft.com/office/spreadsheetml/2009/9/main" objectType="Drop" dropStyle="combo" dx="22" fmlaLink="Calc!$E$55" fmlaRange="DropDown_RA_PA" noThreeD="1" sel="1" val="0"/>
</file>

<file path=xl/ctrlProps/ctrlProp89.xml><?xml version="1.0" encoding="utf-8"?>
<formControlPr xmlns="http://schemas.microsoft.com/office/spreadsheetml/2009/9/main" objectType="Drop" dropStyle="combo" dx="22" fmlaLink="Calc!$F$55" fmlaRange="DropDown_RA_PA_LengthAndPercentage" noThreeD="1" sel="1" val="0"/>
</file>

<file path=xl/ctrlProps/ctrlProp9.xml><?xml version="1.0" encoding="utf-8"?>
<formControlPr xmlns="http://schemas.microsoft.com/office/spreadsheetml/2009/9/main" objectType="CheckBox" fmlaLink="Data_Exclude_ParticipantCosts" lockText="1" noThreeD="1"/>
</file>

<file path=xl/ctrlProps/ctrlProp90.xml><?xml version="1.0" encoding="utf-8"?>
<formControlPr xmlns="http://schemas.microsoft.com/office/spreadsheetml/2009/9/main" objectType="Drop" dropLines="14" dropStyle="combo" dx="22" fmlaLink="Calc!$D$56" fmlaRange="DropDown_RAAreaSelection" noThreeD="1" sel="1" val="0"/>
</file>

<file path=xl/ctrlProps/ctrlProp91.xml><?xml version="1.0" encoding="utf-8"?>
<formControlPr xmlns="http://schemas.microsoft.com/office/spreadsheetml/2009/9/main" objectType="Drop" dropStyle="combo" dx="22" fmlaLink="Calc!$E$56" fmlaRange="DropDown_RA_PA" noThreeD="1" sel="1" val="0"/>
</file>

<file path=xl/ctrlProps/ctrlProp92.xml><?xml version="1.0" encoding="utf-8"?>
<formControlPr xmlns="http://schemas.microsoft.com/office/spreadsheetml/2009/9/main" objectType="Drop" dropStyle="combo" dx="22" fmlaLink="Calc!$F$56" fmlaRange="DropDown_RA_PA_LengthAndPercentage" noThreeD="1" sel="1" val="0"/>
</file>

<file path=xl/ctrlProps/ctrlProp93.xml><?xml version="1.0" encoding="utf-8"?>
<formControlPr xmlns="http://schemas.microsoft.com/office/spreadsheetml/2009/9/main" objectType="Drop" dropLines="14" dropStyle="combo" dx="22" fmlaLink="Calc!$D$57" fmlaRange="DropDown_RAAreaSelection" noThreeD="1" sel="1" val="0"/>
</file>

<file path=xl/ctrlProps/ctrlProp94.xml><?xml version="1.0" encoding="utf-8"?>
<formControlPr xmlns="http://schemas.microsoft.com/office/spreadsheetml/2009/9/main" objectType="Drop" dropStyle="combo" dx="22" fmlaLink="Calc!$E$57" fmlaRange="DropDown_RA_PA" noThreeD="1" sel="1" val="0"/>
</file>

<file path=xl/ctrlProps/ctrlProp95.xml><?xml version="1.0" encoding="utf-8"?>
<formControlPr xmlns="http://schemas.microsoft.com/office/spreadsheetml/2009/9/main" objectType="Drop" dropStyle="combo" dx="22" fmlaLink="Calc!$F$57" fmlaRange="DropDown_RA_PA_LengthAndPercentage" noThreeD="1" sel="1" val="0"/>
</file>

<file path=xl/ctrlProps/ctrlProp96.xml><?xml version="1.0" encoding="utf-8"?>
<formControlPr xmlns="http://schemas.microsoft.com/office/spreadsheetml/2009/9/main" objectType="Drop" dropLines="14" dropStyle="combo" dx="22" fmlaLink="Calc!$D$58" fmlaRange="DropDown_RAAreaSelection" noThreeD="1" sel="1" val="0"/>
</file>

<file path=xl/ctrlProps/ctrlProp97.xml><?xml version="1.0" encoding="utf-8"?>
<formControlPr xmlns="http://schemas.microsoft.com/office/spreadsheetml/2009/9/main" objectType="Drop" dropStyle="combo" dx="22" fmlaLink="Calc!$E$58" fmlaRange="DropDown_RA_PA" noThreeD="1" sel="1" val="0"/>
</file>

<file path=xl/ctrlProps/ctrlProp98.xml><?xml version="1.0" encoding="utf-8"?>
<formControlPr xmlns="http://schemas.microsoft.com/office/spreadsheetml/2009/9/main" objectType="Drop" dropStyle="combo" dx="22" fmlaLink="Calc!$F$58" fmlaRange="DropDown_RA_PA_LengthAndPercentage" noThreeD="1" sel="1" val="0"/>
</file>

<file path=xl/ctrlProps/ctrlProp99.xml><?xml version="1.0" encoding="utf-8"?>
<formControlPr xmlns="http://schemas.microsoft.com/office/spreadsheetml/2009/9/main" objectType="Drop" dropLines="14" dropStyle="combo" dx="22" fmlaLink="Calc!$D$59" fmlaRange="DropDown_RAAreaSelection"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24</xdr:row>
          <xdr:rowOff>142875</xdr:rowOff>
        </xdr:from>
        <xdr:to>
          <xdr:col>12</xdr:col>
          <xdr:colOff>219075</xdr:colOff>
          <xdr:row>26</xdr:row>
          <xdr:rowOff>19050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0</xdr:rowOff>
        </xdr:from>
        <xdr:to>
          <xdr:col>11</xdr:col>
          <xdr:colOff>200025</xdr:colOff>
          <xdr:row>46</xdr:row>
          <xdr:rowOff>57150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152400</xdr:rowOff>
        </xdr:from>
        <xdr:to>
          <xdr:col>12</xdr:col>
          <xdr:colOff>219075</xdr:colOff>
          <xdr:row>24</xdr:row>
          <xdr:rowOff>28575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133350</xdr:rowOff>
        </xdr:from>
        <xdr:to>
          <xdr:col>7</xdr:col>
          <xdr:colOff>323850</xdr:colOff>
          <xdr:row>50</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Salaries/Wages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133350</xdr:rowOff>
        </xdr:from>
        <xdr:to>
          <xdr:col>6</xdr:col>
          <xdr:colOff>342900</xdr:colOff>
          <xdr:row>52</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52</xdr:row>
          <xdr:rowOff>133350</xdr:rowOff>
        </xdr:from>
        <xdr:to>
          <xdr:col>6</xdr:col>
          <xdr:colOff>342900</xdr:colOff>
          <xdr:row>54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Tuition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133350</xdr:rowOff>
        </xdr:from>
        <xdr:to>
          <xdr:col>11</xdr:col>
          <xdr:colOff>361950</xdr:colOff>
          <xdr:row>50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133350</xdr:rowOff>
        </xdr:from>
        <xdr:to>
          <xdr:col>11</xdr:col>
          <xdr:colOff>247650</xdr:colOff>
          <xdr:row>52</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Travel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133350</xdr:rowOff>
        </xdr:from>
        <xdr:to>
          <xdr:col>12</xdr:col>
          <xdr:colOff>247650</xdr:colOff>
          <xdr:row>54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Participant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48</xdr:row>
          <xdr:rowOff>133350</xdr:rowOff>
        </xdr:from>
        <xdr:to>
          <xdr:col>18</xdr:col>
          <xdr:colOff>95250</xdr:colOff>
          <xdr:row>50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Non-UW Subaward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52</xdr:row>
          <xdr:rowOff>133350</xdr:rowOff>
        </xdr:from>
        <xdr:to>
          <xdr:col>15</xdr:col>
          <xdr:colOff>361950</xdr:colOff>
          <xdr:row>54</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50</xdr:row>
          <xdr:rowOff>133350</xdr:rowOff>
        </xdr:from>
        <xdr:to>
          <xdr:col>17</xdr:col>
          <xdr:colOff>285750</xdr:colOff>
          <xdr:row>52</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Non-UW Subawards &gt;$25K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22</xdr:row>
          <xdr:rowOff>142875</xdr:rowOff>
        </xdr:from>
        <xdr:to>
          <xdr:col>18</xdr:col>
          <xdr:colOff>285750</xdr:colOff>
          <xdr:row>28</xdr:row>
          <xdr:rowOff>19050</xdr:rowOff>
        </xdr:to>
        <xdr:sp macro="" textlink="">
          <xdr:nvSpPr>
            <xdr:cNvPr id="1038" name="Check Box 14" descr="Check here if the sponsor prohibits tuition in the budget.  Charges associated with Graduate Assistant tuition will become the responsibility of the PI, Department, and/or Division"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here if the sponsor prohibits tuition in the budget.  Charges associated with Graduate Assistant tuition will become the responsibility of the PI, Department, and/or Division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42</xdr:row>
          <xdr:rowOff>142875</xdr:rowOff>
        </xdr:from>
        <xdr:to>
          <xdr:col>11</xdr:col>
          <xdr:colOff>180975</xdr:colOff>
          <xdr:row>44</xdr:row>
          <xdr:rowOff>57150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10</xdr:row>
          <xdr:rowOff>19050</xdr:rowOff>
        </xdr:from>
        <xdr:to>
          <xdr:col>13</xdr:col>
          <xdr:colOff>247650</xdr:colOff>
          <xdr:row>10</xdr:row>
          <xdr:rowOff>219075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xdr:row>
          <xdr:rowOff>19050</xdr:rowOff>
        </xdr:from>
        <xdr:to>
          <xdr:col>19</xdr:col>
          <xdr:colOff>247650</xdr:colOff>
          <xdr:row>10</xdr:row>
          <xdr:rowOff>219075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19050</xdr:rowOff>
        </xdr:from>
        <xdr:to>
          <xdr:col>13</xdr:col>
          <xdr:colOff>247650</xdr:colOff>
          <xdr:row>11</xdr:row>
          <xdr:rowOff>219075</xdr:rowOff>
        </xdr:to>
        <xdr:sp macro="" textlink="">
          <xdr:nvSpPr>
            <xdr:cNvPr id="3076" name="Drop Dow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xdr:row>
          <xdr:rowOff>19050</xdr:rowOff>
        </xdr:from>
        <xdr:to>
          <xdr:col>13</xdr:col>
          <xdr:colOff>247650</xdr:colOff>
          <xdr:row>12</xdr:row>
          <xdr:rowOff>219075</xdr:rowOff>
        </xdr:to>
        <xdr:sp macro="" textlink="">
          <xdr:nvSpPr>
            <xdr:cNvPr id="3077" name="Drop Dow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xdr:row>
          <xdr:rowOff>19050</xdr:rowOff>
        </xdr:from>
        <xdr:to>
          <xdr:col>13</xdr:col>
          <xdr:colOff>247650</xdr:colOff>
          <xdr:row>13</xdr:row>
          <xdr:rowOff>219075</xdr:rowOff>
        </xdr:to>
        <xdr:sp macro="" textlink="">
          <xdr:nvSpPr>
            <xdr:cNvPr id="3078" name="Drop Dow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19050</xdr:rowOff>
        </xdr:from>
        <xdr:to>
          <xdr:col>13</xdr:col>
          <xdr:colOff>247650</xdr:colOff>
          <xdr:row>14</xdr:row>
          <xdr:rowOff>219075</xdr:rowOff>
        </xdr:to>
        <xdr:sp macro="" textlink="">
          <xdr:nvSpPr>
            <xdr:cNvPr id="3079" name="Drop Dow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247650</xdr:colOff>
          <xdr:row>15</xdr:row>
          <xdr:rowOff>219075</xdr:rowOff>
        </xdr:to>
        <xdr:sp macro="" textlink="">
          <xdr:nvSpPr>
            <xdr:cNvPr id="3080" name="Drop Dow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xdr:row>
          <xdr:rowOff>19050</xdr:rowOff>
        </xdr:from>
        <xdr:to>
          <xdr:col>13</xdr:col>
          <xdr:colOff>247650</xdr:colOff>
          <xdr:row>16</xdr:row>
          <xdr:rowOff>219075</xdr:rowOff>
        </xdr:to>
        <xdr:sp macro="" textlink="">
          <xdr:nvSpPr>
            <xdr:cNvPr id="3081" name="Drop Dow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19050</xdr:rowOff>
        </xdr:from>
        <xdr:to>
          <xdr:col>13</xdr:col>
          <xdr:colOff>247650</xdr:colOff>
          <xdr:row>17</xdr:row>
          <xdr:rowOff>219075</xdr:rowOff>
        </xdr:to>
        <xdr:sp macro="" textlink="">
          <xdr:nvSpPr>
            <xdr:cNvPr id="3082" name="Drop Dow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18</xdr:row>
          <xdr:rowOff>19050</xdr:rowOff>
        </xdr:from>
        <xdr:to>
          <xdr:col>13</xdr:col>
          <xdr:colOff>247650</xdr:colOff>
          <xdr:row>18</xdr:row>
          <xdr:rowOff>219075</xdr:rowOff>
        </xdr:to>
        <xdr:sp macro="" textlink="">
          <xdr:nvSpPr>
            <xdr:cNvPr id="3083" name="Drop Dow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247650</xdr:colOff>
          <xdr:row>19</xdr:row>
          <xdr:rowOff>219075</xdr:rowOff>
        </xdr:to>
        <xdr:sp macro="" textlink="">
          <xdr:nvSpPr>
            <xdr:cNvPr id="3084" name="Drop Dow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19050</xdr:rowOff>
        </xdr:from>
        <xdr:to>
          <xdr:col>13</xdr:col>
          <xdr:colOff>247650</xdr:colOff>
          <xdr:row>20</xdr:row>
          <xdr:rowOff>219075</xdr:rowOff>
        </xdr:to>
        <xdr:sp macro="" textlink="">
          <xdr:nvSpPr>
            <xdr:cNvPr id="3085" name="Drop Dow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19050</xdr:rowOff>
        </xdr:from>
        <xdr:to>
          <xdr:col>13</xdr:col>
          <xdr:colOff>247650</xdr:colOff>
          <xdr:row>21</xdr:row>
          <xdr:rowOff>219075</xdr:rowOff>
        </xdr:to>
        <xdr:sp macro="" textlink="">
          <xdr:nvSpPr>
            <xdr:cNvPr id="3086" name="Drop Dow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19050</xdr:rowOff>
        </xdr:from>
        <xdr:to>
          <xdr:col>13</xdr:col>
          <xdr:colOff>247650</xdr:colOff>
          <xdr:row>22</xdr:row>
          <xdr:rowOff>219075</xdr:rowOff>
        </xdr:to>
        <xdr:sp macro="" textlink="">
          <xdr:nvSpPr>
            <xdr:cNvPr id="3087" name="Drop Dow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13</xdr:col>
          <xdr:colOff>247650</xdr:colOff>
          <xdr:row>23</xdr:row>
          <xdr:rowOff>219075</xdr:rowOff>
        </xdr:to>
        <xdr:sp macro="" textlink="">
          <xdr:nvSpPr>
            <xdr:cNvPr id="3088" name="Drop Dow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19050</xdr:rowOff>
        </xdr:from>
        <xdr:to>
          <xdr:col>13</xdr:col>
          <xdr:colOff>247650</xdr:colOff>
          <xdr:row>24</xdr:row>
          <xdr:rowOff>219075</xdr:rowOff>
        </xdr:to>
        <xdr:sp macro="" textlink="">
          <xdr:nvSpPr>
            <xdr:cNvPr id="3089" name="Drop Dow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13</xdr:col>
          <xdr:colOff>247650</xdr:colOff>
          <xdr:row>25</xdr:row>
          <xdr:rowOff>219075</xdr:rowOff>
        </xdr:to>
        <xdr:sp macro="" textlink="">
          <xdr:nvSpPr>
            <xdr:cNvPr id="3090" name="Drop Dow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247650</xdr:colOff>
          <xdr:row>26</xdr:row>
          <xdr:rowOff>219075</xdr:rowOff>
        </xdr:to>
        <xdr:sp macro="" textlink="">
          <xdr:nvSpPr>
            <xdr:cNvPr id="3091" name="Drop Dow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247650</xdr:colOff>
          <xdr:row>27</xdr:row>
          <xdr:rowOff>219075</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247650</xdr:colOff>
          <xdr:row>28</xdr:row>
          <xdr:rowOff>219075</xdr:rowOff>
        </xdr:to>
        <xdr:sp macro="" textlink="">
          <xdr:nvSpPr>
            <xdr:cNvPr id="3093" name="Drop Down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247650</xdr:colOff>
          <xdr:row>29</xdr:row>
          <xdr:rowOff>219075</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19050</xdr:rowOff>
        </xdr:from>
        <xdr:to>
          <xdr:col>19</xdr:col>
          <xdr:colOff>247650</xdr:colOff>
          <xdr:row>11</xdr:row>
          <xdr:rowOff>219075</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12</xdr:row>
          <xdr:rowOff>19050</xdr:rowOff>
        </xdr:from>
        <xdr:to>
          <xdr:col>19</xdr:col>
          <xdr:colOff>247650</xdr:colOff>
          <xdr:row>12</xdr:row>
          <xdr:rowOff>219075</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xdr:row>
          <xdr:rowOff>19050</xdr:rowOff>
        </xdr:from>
        <xdr:to>
          <xdr:col>19</xdr:col>
          <xdr:colOff>247650</xdr:colOff>
          <xdr:row>13</xdr:row>
          <xdr:rowOff>219075</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xdr:row>
          <xdr:rowOff>19050</xdr:rowOff>
        </xdr:from>
        <xdr:to>
          <xdr:col>19</xdr:col>
          <xdr:colOff>247650</xdr:colOff>
          <xdr:row>14</xdr:row>
          <xdr:rowOff>219075</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19050</xdr:rowOff>
        </xdr:from>
        <xdr:to>
          <xdr:col>19</xdr:col>
          <xdr:colOff>247650</xdr:colOff>
          <xdr:row>15</xdr:row>
          <xdr:rowOff>219075</xdr:rowOff>
        </xdr:to>
        <xdr:sp macro="" textlink="">
          <xdr:nvSpPr>
            <xdr:cNvPr id="3100" name="Drop Down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19050</xdr:rowOff>
        </xdr:from>
        <xdr:to>
          <xdr:col>19</xdr:col>
          <xdr:colOff>247650</xdr:colOff>
          <xdr:row>16</xdr:row>
          <xdr:rowOff>219075</xdr:rowOff>
        </xdr:to>
        <xdr:sp macro="" textlink="">
          <xdr:nvSpPr>
            <xdr:cNvPr id="3101" name="Drop Down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19</xdr:col>
          <xdr:colOff>247650</xdr:colOff>
          <xdr:row>17</xdr:row>
          <xdr:rowOff>219075</xdr:rowOff>
        </xdr:to>
        <xdr:sp macro="" textlink="">
          <xdr:nvSpPr>
            <xdr:cNvPr id="3102" name="Drop Down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19050</xdr:rowOff>
        </xdr:from>
        <xdr:to>
          <xdr:col>19</xdr:col>
          <xdr:colOff>247650</xdr:colOff>
          <xdr:row>18</xdr:row>
          <xdr:rowOff>219075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19050</xdr:rowOff>
        </xdr:from>
        <xdr:to>
          <xdr:col>19</xdr:col>
          <xdr:colOff>247650</xdr:colOff>
          <xdr:row>19</xdr:row>
          <xdr:rowOff>219075</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20</xdr:row>
          <xdr:rowOff>19050</xdr:rowOff>
        </xdr:from>
        <xdr:to>
          <xdr:col>19</xdr:col>
          <xdr:colOff>247650</xdr:colOff>
          <xdr:row>20</xdr:row>
          <xdr:rowOff>219075</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19050</xdr:rowOff>
        </xdr:from>
        <xdr:to>
          <xdr:col>19</xdr:col>
          <xdr:colOff>247650</xdr:colOff>
          <xdr:row>21</xdr:row>
          <xdr:rowOff>219075</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19050</xdr:rowOff>
        </xdr:from>
        <xdr:to>
          <xdr:col>19</xdr:col>
          <xdr:colOff>247650</xdr:colOff>
          <xdr:row>22</xdr:row>
          <xdr:rowOff>219075</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19050</xdr:rowOff>
        </xdr:from>
        <xdr:to>
          <xdr:col>19</xdr:col>
          <xdr:colOff>247650</xdr:colOff>
          <xdr:row>23</xdr:row>
          <xdr:rowOff>219075</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19050</xdr:rowOff>
        </xdr:from>
        <xdr:to>
          <xdr:col>19</xdr:col>
          <xdr:colOff>247650</xdr:colOff>
          <xdr:row>24</xdr:row>
          <xdr:rowOff>219075</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19050</xdr:rowOff>
        </xdr:from>
        <xdr:to>
          <xdr:col>19</xdr:col>
          <xdr:colOff>247650</xdr:colOff>
          <xdr:row>25</xdr:row>
          <xdr:rowOff>219075</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26</xdr:row>
          <xdr:rowOff>19050</xdr:rowOff>
        </xdr:from>
        <xdr:to>
          <xdr:col>19</xdr:col>
          <xdr:colOff>247650</xdr:colOff>
          <xdr:row>26</xdr:row>
          <xdr:rowOff>219075</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19050</xdr:rowOff>
        </xdr:from>
        <xdr:to>
          <xdr:col>19</xdr:col>
          <xdr:colOff>247650</xdr:colOff>
          <xdr:row>27</xdr:row>
          <xdr:rowOff>219075</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19050</xdr:rowOff>
        </xdr:from>
        <xdr:to>
          <xdr:col>19</xdr:col>
          <xdr:colOff>247650</xdr:colOff>
          <xdr:row>28</xdr:row>
          <xdr:rowOff>219075</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19050</xdr:rowOff>
        </xdr:from>
        <xdr:to>
          <xdr:col>19</xdr:col>
          <xdr:colOff>247650</xdr:colOff>
          <xdr:row>29</xdr:row>
          <xdr:rowOff>219075</xdr:rowOff>
        </xdr:to>
        <xdr:sp macro="" textlink="">
          <xdr:nvSpPr>
            <xdr:cNvPr id="3114" name="Drop Down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3116" name="Drop Down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3117" name="Drop Down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3118" name="Drop Down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3119" name="Drop Down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3120" name="Drop Down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3121" name="Drop Down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3122" name="Drop Down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3123" name="Drop Down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3124" name="Drop Down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3125" name="Drop Down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3126" name="Drop Down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3127" name="Drop Down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3128" name="Drop Down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3129" name="Drop Down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3130" name="Drop Down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3131" name="Drop Down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3132" name="Drop Down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3133" name="Drop Down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3134" name="Drop Down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228600</xdr:colOff>
          <xdr:row>35</xdr:row>
          <xdr:rowOff>238125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42925" y="7229475"/>
              <a:ext cx="5419725" cy="228600"/>
              <a:chOff x="552450" y="7229475"/>
              <a:chExt cx="5438773" cy="228600"/>
            </a:xfrm>
          </xdr:grpSpPr>
          <xdr:sp macro="" textlink="">
            <xdr:nvSpPr>
              <xdr:cNvPr id="3137" name="Drop Down 65" hidden="1">
                <a:extLst>
                  <a:ext uri="{63B3BB69-23CF-44E3-9099-C40C66FF867C}">
                    <a14:compatExt spid="_x0000_s3137"/>
                  </a:ext>
                  <a:ext uri="{FF2B5EF4-FFF2-40B4-BE49-F238E27FC236}">
                    <a16:creationId xmlns:a16="http://schemas.microsoft.com/office/drawing/2014/main" id="{00000000-0008-0000-0200-0000410C0000}"/>
                  </a:ext>
                </a:extLst>
              </xdr:cNvPr>
              <xdr:cNvSpPr/>
            </xdr:nvSpPr>
            <xdr:spPr bwMode="auto">
              <a:xfrm>
                <a:off x="3705224" y="72294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57" name="Drop Down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552450" y="72294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58" name="Drop Down 86"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542925" y="7477125"/>
              <a:ext cx="5419725" cy="228600"/>
              <a:chOff x="552450" y="7477125"/>
              <a:chExt cx="5438773" cy="228600"/>
            </a:xfrm>
          </xdr:grpSpPr>
          <xdr:sp macro="" textlink="">
            <xdr:nvSpPr>
              <xdr:cNvPr id="3163" name="Drop Down 91"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3705224" y="74771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64" name="Drop Down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65" name="Drop Down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542925" y="7724775"/>
              <a:ext cx="5419725" cy="228600"/>
              <a:chOff x="552450" y="7724775"/>
              <a:chExt cx="5438773" cy="228600"/>
            </a:xfrm>
          </xdr:grpSpPr>
          <xdr:sp macro="" textlink="">
            <xdr:nvSpPr>
              <xdr:cNvPr id="3167" name="Drop Down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3705224" y="77247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68" name="Drop Down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69" name="Drop Down 97"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542925" y="7972425"/>
              <a:ext cx="5419725" cy="228600"/>
              <a:chOff x="552450" y="7972425"/>
              <a:chExt cx="5438773" cy="228600"/>
            </a:xfrm>
          </xdr:grpSpPr>
          <xdr:sp macro="" textlink="">
            <xdr:nvSpPr>
              <xdr:cNvPr id="3171" name="Drop Down 99" hidden="1">
                <a:extLst>
                  <a:ext uri="{63B3BB69-23CF-44E3-9099-C40C66FF867C}">
                    <a14:compatExt spid="_x0000_s3171"/>
                  </a:ext>
                  <a:ext uri="{FF2B5EF4-FFF2-40B4-BE49-F238E27FC236}">
                    <a16:creationId xmlns:a16="http://schemas.microsoft.com/office/drawing/2014/main" id="{00000000-0008-0000-0200-0000630C0000}"/>
                  </a:ext>
                </a:extLst>
              </xdr:cNvPr>
              <xdr:cNvSpPr/>
            </xdr:nvSpPr>
            <xdr:spPr bwMode="auto">
              <a:xfrm>
                <a:off x="3705224" y="79724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2" name="Drop Down 100" hidden="1">
                <a:extLst>
                  <a:ext uri="{63B3BB69-23CF-44E3-9099-C40C66FF867C}">
                    <a14:compatExt spid="_x0000_s3172"/>
                  </a:ext>
                  <a:ext uri="{FF2B5EF4-FFF2-40B4-BE49-F238E27FC236}">
                    <a16:creationId xmlns:a16="http://schemas.microsoft.com/office/drawing/2014/main" id="{00000000-0008-0000-0200-0000640C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73" name="Drop Down 101" hidden="1">
                <a:extLst>
                  <a:ext uri="{63B3BB69-23CF-44E3-9099-C40C66FF867C}">
                    <a14:compatExt spid="_x0000_s3173"/>
                  </a:ext>
                  <a:ext uri="{FF2B5EF4-FFF2-40B4-BE49-F238E27FC236}">
                    <a16:creationId xmlns:a16="http://schemas.microsoft.com/office/drawing/2014/main" id="{00000000-0008-0000-0200-0000650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542925" y="8220075"/>
              <a:ext cx="5419725" cy="228600"/>
              <a:chOff x="552450" y="8220075"/>
              <a:chExt cx="5438773" cy="228600"/>
            </a:xfrm>
          </xdr:grpSpPr>
          <xdr:sp macro="" textlink="">
            <xdr:nvSpPr>
              <xdr:cNvPr id="3175" name="Drop Down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3705224" y="82200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6" name="Drop Down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77" name="Drop Down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8" name="Group 7">
              <a:extLst>
                <a:ext uri="{FF2B5EF4-FFF2-40B4-BE49-F238E27FC236}">
                  <a16:creationId xmlns:a16="http://schemas.microsoft.com/office/drawing/2014/main" id="{00000000-0008-0000-0200-000008000000}"/>
                </a:ext>
              </a:extLst>
            </xdr:cNvPr>
            <xdr:cNvGrpSpPr/>
          </xdr:nvGrpSpPr>
          <xdr:grpSpPr>
            <a:xfrm>
              <a:off x="542925" y="7477125"/>
              <a:ext cx="5419725" cy="228600"/>
              <a:chOff x="552450" y="7477125"/>
              <a:chExt cx="5438773" cy="228600"/>
            </a:xfrm>
          </xdr:grpSpPr>
          <xdr:sp macro="" textlink="">
            <xdr:nvSpPr>
              <xdr:cNvPr id="3178" name="Drop Down 106" hidden="1">
                <a:extLst>
                  <a:ext uri="{63B3BB69-23CF-44E3-9099-C40C66FF867C}">
                    <a14:compatExt spid="_x0000_s3178"/>
                  </a:ext>
                  <a:ext uri="{FF2B5EF4-FFF2-40B4-BE49-F238E27FC236}">
                    <a16:creationId xmlns:a16="http://schemas.microsoft.com/office/drawing/2014/main" id="{00000000-0008-0000-0200-00006A0C0000}"/>
                  </a:ext>
                </a:extLst>
              </xdr:cNvPr>
              <xdr:cNvSpPr/>
            </xdr:nvSpPr>
            <xdr:spPr bwMode="auto">
              <a:xfrm>
                <a:off x="3705224" y="74771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79" name="Drop Dow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0" name="Drop Dow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9" name="Group 8">
              <a:extLst>
                <a:ext uri="{FF2B5EF4-FFF2-40B4-BE49-F238E27FC236}">
                  <a16:creationId xmlns:a16="http://schemas.microsoft.com/office/drawing/2014/main" id="{00000000-0008-0000-0200-000009000000}"/>
                </a:ext>
              </a:extLst>
            </xdr:cNvPr>
            <xdr:cNvGrpSpPr/>
          </xdr:nvGrpSpPr>
          <xdr:grpSpPr>
            <a:xfrm>
              <a:off x="542925" y="7724775"/>
              <a:ext cx="5419725" cy="228600"/>
              <a:chOff x="552450" y="7724775"/>
              <a:chExt cx="5438773" cy="228600"/>
            </a:xfrm>
          </xdr:grpSpPr>
          <xdr:sp macro="" textlink="">
            <xdr:nvSpPr>
              <xdr:cNvPr id="3181" name="Drop Dow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3705224" y="77247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2" name="Drop Dow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3" name="Drop Dow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10" name="Group 9">
              <a:extLst>
                <a:ext uri="{FF2B5EF4-FFF2-40B4-BE49-F238E27FC236}">
                  <a16:creationId xmlns:a16="http://schemas.microsoft.com/office/drawing/2014/main" id="{00000000-0008-0000-0200-00000A000000}"/>
                </a:ext>
              </a:extLst>
            </xdr:cNvPr>
            <xdr:cNvGrpSpPr/>
          </xdr:nvGrpSpPr>
          <xdr:grpSpPr>
            <a:xfrm>
              <a:off x="542925" y="7972425"/>
              <a:ext cx="5419725" cy="228600"/>
              <a:chOff x="552450" y="7972425"/>
              <a:chExt cx="5438773" cy="228600"/>
            </a:xfrm>
          </xdr:grpSpPr>
          <xdr:sp macro="" textlink="">
            <xdr:nvSpPr>
              <xdr:cNvPr id="3184" name="Drop Dow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3705224" y="797242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5" name="Drop Dow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11" name="Group 10">
              <a:extLst>
                <a:ext uri="{FF2B5EF4-FFF2-40B4-BE49-F238E27FC236}">
                  <a16:creationId xmlns:a16="http://schemas.microsoft.com/office/drawing/2014/main" id="{00000000-0008-0000-0200-00000B000000}"/>
                </a:ext>
              </a:extLst>
            </xdr:cNvPr>
            <xdr:cNvGrpSpPr/>
          </xdr:nvGrpSpPr>
          <xdr:grpSpPr>
            <a:xfrm>
              <a:off x="542925" y="8220075"/>
              <a:ext cx="5419725" cy="228600"/>
              <a:chOff x="552450" y="8220075"/>
              <a:chExt cx="5438773" cy="228600"/>
            </a:xfrm>
          </xdr:grpSpPr>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3705224" y="8220075"/>
                <a:ext cx="2285999" cy="228600"/>
              </a:xfrm>
              <a:prstGeom prst="rect">
                <a:avLst/>
              </a:prstGeom>
              <a:noFill/>
              <a:ln>
                <a:noFill/>
              </a:ln>
              <a:extLst>
                <a:ext uri="{91240B29-F687-4F45-9708-019B960494DF}">
                  <a14:hiddenLine w="9525">
                    <a:noFill/>
                    <a:miter lim="800000"/>
                    <a:headEnd/>
                    <a:tailEnd/>
                  </a14:hiddenLine>
                </a:ext>
              </a:extLst>
            </xdr:spPr>
          </xdr:sp>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6186" name="Drop Down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6187" name="Drop Down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6188" name="Drop Down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6189" name="Drop Down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6190" name="Drop Down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6191" name="Drop Down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6192" name="Drop Down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6193" name="Drop Down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6194" name="Drop Down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6195" name="Drop Down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6196" name="Drop Down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6197" name="Drop Down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6198" name="Drop Down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6199" name="Drop Down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6200" name="Drop Down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6201" name="Drop Down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6202" name="Drop Down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6203" name="Drop Down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6204" name="Drop Down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228600</xdr:colOff>
          <xdr:row>35</xdr:row>
          <xdr:rowOff>238125</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542925" y="7229475"/>
              <a:ext cx="5419725" cy="228600"/>
              <a:chOff x="552450" y="7229475"/>
              <a:chExt cx="5438775" cy="228600"/>
            </a:xfrm>
          </xdr:grpSpPr>
          <xdr:sp macro="" textlink="">
            <xdr:nvSpPr>
              <xdr:cNvPr id="6241" name="Drop Down 97" hidden="1">
                <a:extLst>
                  <a:ext uri="{63B3BB69-23CF-44E3-9099-C40C66FF867C}">
                    <a14:compatExt spid="_x0000_s6241"/>
                  </a:ext>
                  <a:ext uri="{FF2B5EF4-FFF2-40B4-BE49-F238E27FC236}">
                    <a16:creationId xmlns:a16="http://schemas.microsoft.com/office/drawing/2014/main" id="{00000000-0008-0000-0300-000061180000}"/>
                  </a:ext>
                </a:extLst>
              </xdr:cNvPr>
              <xdr:cNvSpPr/>
            </xdr:nvSpPr>
            <xdr:spPr bwMode="auto">
              <a:xfrm>
                <a:off x="3705225" y="72294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2" name="Drop Down 98" hidden="1">
                <a:extLst>
                  <a:ext uri="{63B3BB69-23CF-44E3-9099-C40C66FF867C}">
                    <a14:compatExt spid="_x0000_s6242"/>
                  </a:ext>
                  <a:ext uri="{FF2B5EF4-FFF2-40B4-BE49-F238E27FC236}">
                    <a16:creationId xmlns:a16="http://schemas.microsoft.com/office/drawing/2014/main" id="{00000000-0008-0000-0300-000062180000}"/>
                  </a:ext>
                </a:extLst>
              </xdr:cNvPr>
              <xdr:cNvSpPr/>
            </xdr:nvSpPr>
            <xdr:spPr bwMode="auto">
              <a:xfrm>
                <a:off x="552450" y="72294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3" name="Drop Down 99" hidden="1">
                <a:extLst>
                  <a:ext uri="{63B3BB69-23CF-44E3-9099-C40C66FF867C}">
                    <a14:compatExt spid="_x0000_s6243"/>
                  </a:ext>
                  <a:ext uri="{FF2B5EF4-FFF2-40B4-BE49-F238E27FC236}">
                    <a16:creationId xmlns:a16="http://schemas.microsoft.com/office/drawing/2014/main" id="{00000000-0008-0000-0300-00006318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228600</xdr:colOff>
          <xdr:row>36</xdr:row>
          <xdr:rowOff>238125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542925" y="7477125"/>
              <a:ext cx="5419725" cy="228600"/>
              <a:chOff x="552450" y="7477125"/>
              <a:chExt cx="5438775" cy="228600"/>
            </a:xfrm>
          </xdr:grpSpPr>
          <xdr:sp macro="" textlink="">
            <xdr:nvSpPr>
              <xdr:cNvPr id="6244" name="Drop Down 100" hidden="1">
                <a:extLst>
                  <a:ext uri="{63B3BB69-23CF-44E3-9099-C40C66FF867C}">
                    <a14:compatExt spid="_x0000_s6244"/>
                  </a:ext>
                  <a:ext uri="{FF2B5EF4-FFF2-40B4-BE49-F238E27FC236}">
                    <a16:creationId xmlns:a16="http://schemas.microsoft.com/office/drawing/2014/main" id="{00000000-0008-0000-0300-000064180000}"/>
                  </a:ext>
                </a:extLst>
              </xdr:cNvPr>
              <xdr:cNvSpPr/>
            </xdr:nvSpPr>
            <xdr:spPr bwMode="auto">
              <a:xfrm>
                <a:off x="3705225" y="747712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5" name="Drop Down 101" hidden="1">
                <a:extLst>
                  <a:ext uri="{63B3BB69-23CF-44E3-9099-C40C66FF867C}">
                    <a14:compatExt spid="_x0000_s6245"/>
                  </a:ext>
                  <a:ext uri="{FF2B5EF4-FFF2-40B4-BE49-F238E27FC236}">
                    <a16:creationId xmlns:a16="http://schemas.microsoft.com/office/drawing/2014/main" id="{00000000-0008-0000-0300-000065180000}"/>
                  </a:ext>
                </a:extLst>
              </xdr:cNvPr>
              <xdr:cNvSpPr/>
            </xdr:nvSpPr>
            <xdr:spPr bwMode="auto">
              <a:xfrm>
                <a:off x="552450" y="74771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6" name="Drop Down 102" hidden="1">
                <a:extLst>
                  <a:ext uri="{63B3BB69-23CF-44E3-9099-C40C66FF867C}">
                    <a14:compatExt spid="_x0000_s6246"/>
                  </a:ext>
                  <a:ext uri="{FF2B5EF4-FFF2-40B4-BE49-F238E27FC236}">
                    <a16:creationId xmlns:a16="http://schemas.microsoft.com/office/drawing/2014/main" id="{00000000-0008-0000-0300-00006618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228600</xdr:colOff>
          <xdr:row>37</xdr:row>
          <xdr:rowOff>238125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542925" y="7724775"/>
              <a:ext cx="5419725" cy="228600"/>
              <a:chOff x="552450" y="7724775"/>
              <a:chExt cx="5438775" cy="228600"/>
            </a:xfrm>
          </xdr:grpSpPr>
          <xdr:sp macro="" textlink="">
            <xdr:nvSpPr>
              <xdr:cNvPr id="6247" name="Drop Down 103" hidden="1">
                <a:extLst>
                  <a:ext uri="{63B3BB69-23CF-44E3-9099-C40C66FF867C}">
                    <a14:compatExt spid="_x0000_s6247"/>
                  </a:ext>
                  <a:ext uri="{FF2B5EF4-FFF2-40B4-BE49-F238E27FC236}">
                    <a16:creationId xmlns:a16="http://schemas.microsoft.com/office/drawing/2014/main" id="{00000000-0008-0000-0300-000067180000}"/>
                  </a:ext>
                </a:extLst>
              </xdr:cNvPr>
              <xdr:cNvSpPr/>
            </xdr:nvSpPr>
            <xdr:spPr bwMode="auto">
              <a:xfrm>
                <a:off x="3705225" y="77247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48" name="Drop Down 104" hidden="1">
                <a:extLst>
                  <a:ext uri="{63B3BB69-23CF-44E3-9099-C40C66FF867C}">
                    <a14:compatExt spid="_x0000_s6248"/>
                  </a:ext>
                  <a:ext uri="{FF2B5EF4-FFF2-40B4-BE49-F238E27FC236}">
                    <a16:creationId xmlns:a16="http://schemas.microsoft.com/office/drawing/2014/main" id="{00000000-0008-0000-0300-000068180000}"/>
                  </a:ext>
                </a:extLst>
              </xdr:cNvPr>
              <xdr:cNvSpPr/>
            </xdr:nvSpPr>
            <xdr:spPr bwMode="auto">
              <a:xfrm>
                <a:off x="552450" y="77247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49" name="Drop Down 105" hidden="1">
                <a:extLst>
                  <a:ext uri="{63B3BB69-23CF-44E3-9099-C40C66FF867C}">
                    <a14:compatExt spid="_x0000_s6249"/>
                  </a:ext>
                  <a:ext uri="{FF2B5EF4-FFF2-40B4-BE49-F238E27FC236}">
                    <a16:creationId xmlns:a16="http://schemas.microsoft.com/office/drawing/2014/main" id="{00000000-0008-0000-0300-00006918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228600</xdr:colOff>
          <xdr:row>38</xdr:row>
          <xdr:rowOff>238125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42925" y="7972425"/>
              <a:ext cx="5419725" cy="228600"/>
              <a:chOff x="552450" y="7972425"/>
              <a:chExt cx="5438775" cy="228600"/>
            </a:xfrm>
          </xdr:grpSpPr>
          <xdr:sp macro="" textlink="">
            <xdr:nvSpPr>
              <xdr:cNvPr id="6250" name="Drop Down 106" hidden="1">
                <a:extLst>
                  <a:ext uri="{63B3BB69-23CF-44E3-9099-C40C66FF867C}">
                    <a14:compatExt spid="_x0000_s6250"/>
                  </a:ext>
                  <a:ext uri="{FF2B5EF4-FFF2-40B4-BE49-F238E27FC236}">
                    <a16:creationId xmlns:a16="http://schemas.microsoft.com/office/drawing/2014/main" id="{00000000-0008-0000-0300-00006A180000}"/>
                  </a:ext>
                </a:extLst>
              </xdr:cNvPr>
              <xdr:cNvSpPr/>
            </xdr:nvSpPr>
            <xdr:spPr bwMode="auto">
              <a:xfrm>
                <a:off x="3705225" y="797242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51" name="Drop Down 107" hidden="1">
                <a:extLst>
                  <a:ext uri="{63B3BB69-23CF-44E3-9099-C40C66FF867C}">
                    <a14:compatExt spid="_x0000_s6251"/>
                  </a:ext>
                  <a:ext uri="{FF2B5EF4-FFF2-40B4-BE49-F238E27FC236}">
                    <a16:creationId xmlns:a16="http://schemas.microsoft.com/office/drawing/2014/main" id="{00000000-0008-0000-0300-00006B180000}"/>
                  </a:ext>
                </a:extLst>
              </xdr:cNvPr>
              <xdr:cNvSpPr/>
            </xdr:nvSpPr>
            <xdr:spPr bwMode="auto">
              <a:xfrm>
                <a:off x="552450" y="797242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52" name="Drop Down 108" hidden="1">
                <a:extLst>
                  <a:ext uri="{63B3BB69-23CF-44E3-9099-C40C66FF867C}">
                    <a14:compatExt spid="_x0000_s6252"/>
                  </a:ext>
                  <a:ext uri="{FF2B5EF4-FFF2-40B4-BE49-F238E27FC236}">
                    <a16:creationId xmlns:a16="http://schemas.microsoft.com/office/drawing/2014/main" id="{00000000-0008-0000-0300-00006C18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228600</xdr:colOff>
          <xdr:row>39</xdr:row>
          <xdr:rowOff>238125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542925" y="8220075"/>
              <a:ext cx="5419725" cy="228600"/>
              <a:chOff x="552450" y="8220075"/>
              <a:chExt cx="5438775" cy="228600"/>
            </a:xfrm>
          </xdr:grpSpPr>
          <xdr:sp macro="" textlink="">
            <xdr:nvSpPr>
              <xdr:cNvPr id="6253" name="Drop Down 109" hidden="1">
                <a:extLst>
                  <a:ext uri="{63B3BB69-23CF-44E3-9099-C40C66FF867C}">
                    <a14:compatExt spid="_x0000_s6253"/>
                  </a:ext>
                  <a:ext uri="{FF2B5EF4-FFF2-40B4-BE49-F238E27FC236}">
                    <a16:creationId xmlns:a16="http://schemas.microsoft.com/office/drawing/2014/main" id="{00000000-0008-0000-0300-00006D180000}"/>
                  </a:ext>
                </a:extLst>
              </xdr:cNvPr>
              <xdr:cNvSpPr/>
            </xdr:nvSpPr>
            <xdr:spPr bwMode="auto">
              <a:xfrm>
                <a:off x="3705225" y="8220075"/>
                <a:ext cx="2286000" cy="228600"/>
              </a:xfrm>
              <a:prstGeom prst="rect">
                <a:avLst/>
              </a:prstGeom>
              <a:noFill/>
              <a:ln>
                <a:noFill/>
              </a:ln>
              <a:extLst>
                <a:ext uri="{91240B29-F687-4F45-9708-019B960494DF}">
                  <a14:hiddenLine w="9525">
                    <a:noFill/>
                    <a:miter lim="800000"/>
                    <a:headEnd/>
                    <a:tailEnd/>
                  </a14:hiddenLine>
                </a:ext>
              </a:extLst>
            </xdr:spPr>
          </xdr:sp>
          <xdr:sp macro="" textlink="">
            <xdr:nvSpPr>
              <xdr:cNvPr id="6254" name="Drop Down 110" hidden="1">
                <a:extLst>
                  <a:ext uri="{63B3BB69-23CF-44E3-9099-C40C66FF867C}">
                    <a14:compatExt spid="_x0000_s6254"/>
                  </a:ext>
                  <a:ext uri="{FF2B5EF4-FFF2-40B4-BE49-F238E27FC236}">
                    <a16:creationId xmlns:a16="http://schemas.microsoft.com/office/drawing/2014/main" id="{00000000-0008-0000-0300-00006E180000}"/>
                  </a:ext>
                </a:extLst>
              </xdr:cNvPr>
              <xdr:cNvSpPr/>
            </xdr:nvSpPr>
            <xdr:spPr bwMode="auto">
              <a:xfrm>
                <a:off x="552450" y="8220075"/>
                <a:ext cx="1743076" cy="228600"/>
              </a:xfrm>
              <a:prstGeom prst="rect">
                <a:avLst/>
              </a:prstGeom>
              <a:noFill/>
              <a:ln>
                <a:noFill/>
              </a:ln>
              <a:extLst>
                <a:ext uri="{91240B29-F687-4F45-9708-019B960494DF}">
                  <a14:hiddenLine w="9525">
                    <a:noFill/>
                    <a:miter lim="800000"/>
                    <a:headEnd/>
                    <a:tailEnd/>
                  </a14:hiddenLine>
                </a:ext>
              </a:extLst>
            </xdr:spPr>
          </xdr:sp>
          <xdr:sp macro="" textlink="">
            <xdr:nvSpPr>
              <xdr:cNvPr id="6255" name="Drop Down 111" hidden="1">
                <a:extLst>
                  <a:ext uri="{63B3BB69-23CF-44E3-9099-C40C66FF867C}">
                    <a14:compatExt spid="_x0000_s6255"/>
                  </a:ext>
                  <a:ext uri="{FF2B5EF4-FFF2-40B4-BE49-F238E27FC236}">
                    <a16:creationId xmlns:a16="http://schemas.microsoft.com/office/drawing/2014/main" id="{00000000-0008-0000-0300-00006F18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7210" name="Drop Down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7211" name="Drop Down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7212" name="Drop Down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7213" name="Drop Down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7214" name="Drop Down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7215" name="Drop Down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7216" name="Drop Down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7217" name="Drop Down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7218" name="Drop Down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7219" name="Drop Down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7220" name="Drop Down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7221" name="Drop Down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7222" name="Drop Down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7223" name="Drop Down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7224" name="Drop Down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7225" name="Drop Down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7226" name="Drop Down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7227" name="Drop Down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7228" name="Drop Down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35</xdr:row>
          <xdr:rowOff>5039</xdr:rowOff>
        </xdr:from>
        <xdr:to>
          <xdr:col>26</xdr:col>
          <xdr:colOff>247089</xdr:colOff>
          <xdr:row>35</xdr:row>
          <xdr:rowOff>237001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46287" y="7224989"/>
              <a:ext cx="5434852" cy="231962"/>
              <a:chOff x="552450" y="7069788"/>
              <a:chExt cx="5433729" cy="228600"/>
            </a:xfrm>
          </xdr:grpSpPr>
          <xdr:sp macro="" textlink="">
            <xdr:nvSpPr>
              <xdr:cNvPr id="7287" name="Drop Down 119" hidden="1">
                <a:extLst>
                  <a:ext uri="{63B3BB69-23CF-44E3-9099-C40C66FF867C}">
                    <a14:compatExt spid="_x0000_s7287"/>
                  </a:ext>
                  <a:ext uri="{FF2B5EF4-FFF2-40B4-BE49-F238E27FC236}">
                    <a16:creationId xmlns:a16="http://schemas.microsoft.com/office/drawing/2014/main" id="{00000000-0008-0000-0400-0000771C0000}"/>
                  </a:ext>
                </a:extLst>
              </xdr:cNvPr>
              <xdr:cNvSpPr/>
            </xdr:nvSpPr>
            <xdr:spPr bwMode="auto">
              <a:xfrm>
                <a:off x="3700177" y="7069788"/>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7288" name="Drop Down 120" hidden="1">
                <a:extLst>
                  <a:ext uri="{63B3BB69-23CF-44E3-9099-C40C66FF867C}">
                    <a14:compatExt spid="_x0000_s7288"/>
                  </a:ext>
                  <a:ext uri="{FF2B5EF4-FFF2-40B4-BE49-F238E27FC236}">
                    <a16:creationId xmlns:a16="http://schemas.microsoft.com/office/drawing/2014/main" id="{00000000-0008-0000-0400-0000781C0000}"/>
                  </a:ext>
                </a:extLst>
              </xdr:cNvPr>
              <xdr:cNvSpPr/>
            </xdr:nvSpPr>
            <xdr:spPr bwMode="auto">
              <a:xfrm>
                <a:off x="552450" y="7069788"/>
                <a:ext cx="1733551" cy="228600"/>
              </a:xfrm>
              <a:prstGeom prst="rect">
                <a:avLst/>
              </a:prstGeom>
              <a:noFill/>
              <a:ln>
                <a:noFill/>
              </a:ln>
              <a:extLst>
                <a:ext uri="{91240B29-F687-4F45-9708-019B960494DF}">
                  <a14:hiddenLine w="9525">
                    <a:noFill/>
                    <a:miter lim="800000"/>
                    <a:headEnd/>
                    <a:tailEnd/>
                  </a14:hiddenLine>
                </a:ext>
              </a:extLst>
            </xdr:spPr>
          </xdr:sp>
          <xdr:sp macro="" textlink="">
            <xdr:nvSpPr>
              <xdr:cNvPr id="7289" name="Drop Down 121" hidden="1">
                <a:extLst>
                  <a:ext uri="{63B3BB69-23CF-44E3-9099-C40C66FF867C}">
                    <a14:compatExt spid="_x0000_s7289"/>
                  </a:ext>
                  <a:ext uri="{FF2B5EF4-FFF2-40B4-BE49-F238E27FC236}">
                    <a16:creationId xmlns:a16="http://schemas.microsoft.com/office/drawing/2014/main" id="{00000000-0008-0000-0400-0000791C0000}"/>
                  </a:ext>
                </a:extLst>
              </xdr:cNvPr>
              <xdr:cNvSpPr/>
            </xdr:nvSpPr>
            <xdr:spPr bwMode="auto">
              <a:xfrm>
                <a:off x="2312894" y="706978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36</xdr:row>
          <xdr:rowOff>8401</xdr:rowOff>
        </xdr:from>
        <xdr:to>
          <xdr:col>27</xdr:col>
          <xdr:colOff>2801</xdr:colOff>
          <xdr:row>36</xdr:row>
          <xdr:rowOff>238122</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546287" y="7476001"/>
              <a:ext cx="5438214" cy="229721"/>
              <a:chOff x="552451" y="7317438"/>
              <a:chExt cx="5437090" cy="228600"/>
            </a:xfrm>
          </xdr:grpSpPr>
          <xdr:sp macro="" textlink="">
            <xdr:nvSpPr>
              <xdr:cNvPr id="7290" name="Drop Down 122" hidden="1">
                <a:extLst>
                  <a:ext uri="{63B3BB69-23CF-44E3-9099-C40C66FF867C}">
                    <a14:compatExt spid="_x0000_s7290"/>
                  </a:ext>
                  <a:ext uri="{FF2B5EF4-FFF2-40B4-BE49-F238E27FC236}">
                    <a16:creationId xmlns:a16="http://schemas.microsoft.com/office/drawing/2014/main" id="{00000000-0008-0000-0400-00007A1C0000}"/>
                  </a:ext>
                </a:extLst>
              </xdr:cNvPr>
              <xdr:cNvSpPr/>
            </xdr:nvSpPr>
            <xdr:spPr bwMode="auto">
              <a:xfrm>
                <a:off x="3703544" y="731743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1" name="Drop Down 123" hidden="1">
                <a:extLst>
                  <a:ext uri="{63B3BB69-23CF-44E3-9099-C40C66FF867C}">
                    <a14:compatExt spid="_x0000_s7291"/>
                  </a:ext>
                  <a:ext uri="{FF2B5EF4-FFF2-40B4-BE49-F238E27FC236}">
                    <a16:creationId xmlns:a16="http://schemas.microsoft.com/office/drawing/2014/main" id="{00000000-0008-0000-0400-00007B1C0000}"/>
                  </a:ext>
                </a:extLst>
              </xdr:cNvPr>
              <xdr:cNvSpPr/>
            </xdr:nvSpPr>
            <xdr:spPr bwMode="auto">
              <a:xfrm>
                <a:off x="552451" y="7317438"/>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2" name="Drop Down 124" hidden="1">
                <a:extLst>
                  <a:ext uri="{63B3BB69-23CF-44E3-9099-C40C66FF867C}">
                    <a14:compatExt spid="_x0000_s7292"/>
                  </a:ext>
                  <a:ext uri="{FF2B5EF4-FFF2-40B4-BE49-F238E27FC236}">
                    <a16:creationId xmlns:a16="http://schemas.microsoft.com/office/drawing/2014/main" id="{00000000-0008-0000-0400-00007C1C0000}"/>
                  </a:ext>
                </a:extLst>
              </xdr:cNvPr>
              <xdr:cNvSpPr/>
            </xdr:nvSpPr>
            <xdr:spPr bwMode="auto">
              <a:xfrm>
                <a:off x="2312894" y="731743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37</xdr:row>
          <xdr:rowOff>10642</xdr:rowOff>
        </xdr:from>
        <xdr:to>
          <xdr:col>27</xdr:col>
          <xdr:colOff>2801</xdr:colOff>
          <xdr:row>37</xdr:row>
          <xdr:rowOff>239246</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546287" y="7725892"/>
              <a:ext cx="5438214" cy="228604"/>
              <a:chOff x="552451" y="7565088"/>
              <a:chExt cx="5437090" cy="228604"/>
            </a:xfrm>
          </xdr:grpSpPr>
          <xdr:sp macro="" textlink="">
            <xdr:nvSpPr>
              <xdr:cNvPr id="7293" name="Drop Down 125" hidden="1">
                <a:extLst>
                  <a:ext uri="{63B3BB69-23CF-44E3-9099-C40C66FF867C}">
                    <a14:compatExt spid="_x0000_s7293"/>
                  </a:ext>
                  <a:ext uri="{FF2B5EF4-FFF2-40B4-BE49-F238E27FC236}">
                    <a16:creationId xmlns:a16="http://schemas.microsoft.com/office/drawing/2014/main" id="{00000000-0008-0000-0400-00007D1C0000}"/>
                  </a:ext>
                </a:extLst>
              </xdr:cNvPr>
              <xdr:cNvSpPr/>
            </xdr:nvSpPr>
            <xdr:spPr bwMode="auto">
              <a:xfrm>
                <a:off x="3703544" y="756508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4" name="Drop Down 126" hidden="1">
                <a:extLst>
                  <a:ext uri="{63B3BB69-23CF-44E3-9099-C40C66FF867C}">
                    <a14:compatExt spid="_x0000_s7294"/>
                  </a:ext>
                  <a:ext uri="{FF2B5EF4-FFF2-40B4-BE49-F238E27FC236}">
                    <a16:creationId xmlns:a16="http://schemas.microsoft.com/office/drawing/2014/main" id="{00000000-0008-0000-0400-00007E1C0000}"/>
                  </a:ext>
                </a:extLst>
              </xdr:cNvPr>
              <xdr:cNvSpPr/>
            </xdr:nvSpPr>
            <xdr:spPr bwMode="auto">
              <a:xfrm>
                <a:off x="552451" y="7565092"/>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5" name="Drop Down 127" hidden="1">
                <a:extLst>
                  <a:ext uri="{63B3BB69-23CF-44E3-9099-C40C66FF867C}">
                    <a14:compatExt spid="_x0000_s7295"/>
                  </a:ext>
                  <a:ext uri="{FF2B5EF4-FFF2-40B4-BE49-F238E27FC236}">
                    <a16:creationId xmlns:a16="http://schemas.microsoft.com/office/drawing/2014/main" id="{00000000-0008-0000-0400-00007F1C0000}"/>
                  </a:ext>
                </a:extLst>
              </xdr:cNvPr>
              <xdr:cNvSpPr/>
            </xdr:nvSpPr>
            <xdr:spPr bwMode="auto">
              <a:xfrm>
                <a:off x="2312894" y="756508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38</xdr:row>
          <xdr:rowOff>11763</xdr:rowOff>
        </xdr:from>
        <xdr:to>
          <xdr:col>27</xdr:col>
          <xdr:colOff>2801</xdr:colOff>
          <xdr:row>38</xdr:row>
          <xdr:rowOff>240363</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546287" y="7974663"/>
              <a:ext cx="5438214" cy="228600"/>
              <a:chOff x="552451" y="7812738"/>
              <a:chExt cx="5437090" cy="228600"/>
            </a:xfrm>
          </xdr:grpSpPr>
          <xdr:sp macro="" textlink="">
            <xdr:nvSpPr>
              <xdr:cNvPr id="7296" name="Drop Down 128" hidden="1">
                <a:extLst>
                  <a:ext uri="{63B3BB69-23CF-44E3-9099-C40C66FF867C}">
                    <a14:compatExt spid="_x0000_s7296"/>
                  </a:ext>
                  <a:ext uri="{FF2B5EF4-FFF2-40B4-BE49-F238E27FC236}">
                    <a16:creationId xmlns:a16="http://schemas.microsoft.com/office/drawing/2014/main" id="{00000000-0008-0000-0400-0000801C0000}"/>
                  </a:ext>
                </a:extLst>
              </xdr:cNvPr>
              <xdr:cNvSpPr/>
            </xdr:nvSpPr>
            <xdr:spPr bwMode="auto">
              <a:xfrm>
                <a:off x="3703544" y="7812738"/>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297" name="Drop Down 129" hidden="1">
                <a:extLst>
                  <a:ext uri="{63B3BB69-23CF-44E3-9099-C40C66FF867C}">
                    <a14:compatExt spid="_x0000_s7297"/>
                  </a:ext>
                  <a:ext uri="{FF2B5EF4-FFF2-40B4-BE49-F238E27FC236}">
                    <a16:creationId xmlns:a16="http://schemas.microsoft.com/office/drawing/2014/main" id="{00000000-0008-0000-0400-0000811C0000}"/>
                  </a:ext>
                </a:extLst>
              </xdr:cNvPr>
              <xdr:cNvSpPr/>
            </xdr:nvSpPr>
            <xdr:spPr bwMode="auto">
              <a:xfrm>
                <a:off x="552451" y="7812738"/>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298" name="Drop Down 130" hidden="1">
                <a:extLst>
                  <a:ext uri="{63B3BB69-23CF-44E3-9099-C40C66FF867C}">
                    <a14:compatExt spid="_x0000_s7298"/>
                  </a:ext>
                  <a:ext uri="{FF2B5EF4-FFF2-40B4-BE49-F238E27FC236}">
                    <a16:creationId xmlns:a16="http://schemas.microsoft.com/office/drawing/2014/main" id="{00000000-0008-0000-0400-0000821C0000}"/>
                  </a:ext>
                </a:extLst>
              </xdr:cNvPr>
              <xdr:cNvSpPr/>
            </xdr:nvSpPr>
            <xdr:spPr bwMode="auto">
              <a:xfrm>
                <a:off x="2312894" y="7812738"/>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12887</xdr:colOff>
          <xdr:row>39</xdr:row>
          <xdr:rowOff>5040</xdr:rowOff>
        </xdr:from>
        <xdr:to>
          <xdr:col>27</xdr:col>
          <xdr:colOff>2801</xdr:colOff>
          <xdr:row>39</xdr:row>
          <xdr:rowOff>233640</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546287" y="8215590"/>
              <a:ext cx="5438214" cy="228600"/>
              <a:chOff x="552451" y="8071594"/>
              <a:chExt cx="5437090" cy="228600"/>
            </a:xfrm>
          </xdr:grpSpPr>
          <xdr:sp macro="" textlink="">
            <xdr:nvSpPr>
              <xdr:cNvPr id="7299" name="Drop Down 131" hidden="1">
                <a:extLst>
                  <a:ext uri="{63B3BB69-23CF-44E3-9099-C40C66FF867C}">
                    <a14:compatExt spid="_x0000_s7299"/>
                  </a:ext>
                  <a:ext uri="{FF2B5EF4-FFF2-40B4-BE49-F238E27FC236}">
                    <a16:creationId xmlns:a16="http://schemas.microsoft.com/office/drawing/2014/main" id="{00000000-0008-0000-0400-0000831C0000}"/>
                  </a:ext>
                </a:extLst>
              </xdr:cNvPr>
              <xdr:cNvSpPr/>
            </xdr:nvSpPr>
            <xdr:spPr bwMode="auto">
              <a:xfrm>
                <a:off x="3703544" y="8071594"/>
                <a:ext cx="2285997" cy="228600"/>
              </a:xfrm>
              <a:prstGeom prst="rect">
                <a:avLst/>
              </a:prstGeom>
              <a:noFill/>
              <a:ln>
                <a:noFill/>
              </a:ln>
              <a:extLst>
                <a:ext uri="{91240B29-F687-4F45-9708-019B960494DF}">
                  <a14:hiddenLine w="9525">
                    <a:noFill/>
                    <a:miter lim="800000"/>
                    <a:headEnd/>
                    <a:tailEnd/>
                  </a14:hiddenLine>
                </a:ext>
              </a:extLst>
            </xdr:spPr>
          </xdr:sp>
          <xdr:sp macro="" textlink="">
            <xdr:nvSpPr>
              <xdr:cNvPr id="7300" name="Drop Down 132" hidden="1">
                <a:extLst>
                  <a:ext uri="{63B3BB69-23CF-44E3-9099-C40C66FF867C}">
                    <a14:compatExt spid="_x0000_s7300"/>
                  </a:ext>
                  <a:ext uri="{FF2B5EF4-FFF2-40B4-BE49-F238E27FC236}">
                    <a16:creationId xmlns:a16="http://schemas.microsoft.com/office/drawing/2014/main" id="{00000000-0008-0000-0400-0000841C0000}"/>
                  </a:ext>
                </a:extLst>
              </xdr:cNvPr>
              <xdr:cNvSpPr/>
            </xdr:nvSpPr>
            <xdr:spPr bwMode="auto">
              <a:xfrm>
                <a:off x="552451" y="8071594"/>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7301" name="Drop Down 133" hidden="1">
                <a:extLst>
                  <a:ext uri="{63B3BB69-23CF-44E3-9099-C40C66FF867C}">
                    <a14:compatExt spid="_x0000_s7301"/>
                  </a:ext>
                  <a:ext uri="{FF2B5EF4-FFF2-40B4-BE49-F238E27FC236}">
                    <a16:creationId xmlns:a16="http://schemas.microsoft.com/office/drawing/2014/main" id="{00000000-0008-0000-0400-0000851C0000}"/>
                  </a:ext>
                </a:extLst>
              </xdr:cNvPr>
              <xdr:cNvSpPr/>
            </xdr:nvSpPr>
            <xdr:spPr bwMode="auto">
              <a:xfrm>
                <a:off x="2312894" y="8071594"/>
                <a:ext cx="1362075"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1276" name="Drop Down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1278" name="Drop Down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1280" name="Drop Down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1281" name="Drop Down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1282" name="Drop Down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1283" name="Drop Down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1284" name="Drop Down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42925" y="7229475"/>
              <a:ext cx="5429250" cy="228600"/>
              <a:chOff x="552450" y="7229475"/>
              <a:chExt cx="5448304" cy="228600"/>
            </a:xfrm>
          </xdr:grpSpPr>
          <xdr:sp macro="" textlink="">
            <xdr:nvSpPr>
              <xdr:cNvPr id="11295" name="Drop Down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3714752" y="72294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1296" name="Drop Down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297" name="Drop Down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542925" y="7477125"/>
              <a:ext cx="5429250" cy="228600"/>
              <a:chOff x="552450" y="7477125"/>
              <a:chExt cx="5448304" cy="228600"/>
            </a:xfrm>
          </xdr:grpSpPr>
          <xdr:sp macro="" textlink="">
            <xdr:nvSpPr>
              <xdr:cNvPr id="11298" name="Drop Dow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3714752" y="747712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1299" name="Drop Dow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0" name="Drop Down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542925" y="7724775"/>
              <a:ext cx="5429250" cy="228600"/>
              <a:chOff x="552450" y="7724775"/>
              <a:chExt cx="5448304" cy="228600"/>
            </a:xfrm>
          </xdr:grpSpPr>
          <xdr:sp macro="" textlink="">
            <xdr:nvSpPr>
              <xdr:cNvPr id="11301" name="Drop Dow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3714752" y="77247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1302" name="Drop Dow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3" name="Drop Down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240506</xdr:colOff>
          <xdr:row>38</xdr:row>
          <xdr:rowOff>240506</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542925" y="7972425"/>
              <a:ext cx="5431631" cy="230981"/>
              <a:chOff x="552450" y="7972425"/>
              <a:chExt cx="5450681" cy="231045"/>
            </a:xfrm>
          </xdr:grpSpPr>
          <xdr:sp macro="" textlink="">
            <xdr:nvSpPr>
              <xdr:cNvPr id="11304" name="Drop Down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3717131" y="7977248"/>
                <a:ext cx="2286000" cy="226222"/>
              </a:xfrm>
              <a:prstGeom prst="rect">
                <a:avLst/>
              </a:prstGeom>
              <a:noFill/>
              <a:ln>
                <a:noFill/>
              </a:ln>
              <a:extLst>
                <a:ext uri="{91240B29-F687-4F45-9708-019B960494DF}">
                  <a14:hiddenLine w="9525">
                    <a:noFill/>
                    <a:miter lim="800000"/>
                    <a:headEnd/>
                    <a:tailEnd/>
                  </a14:hiddenLine>
                </a:ext>
              </a:extLst>
            </xdr:spPr>
          </xdr:sp>
          <xdr:sp macro="" textlink="">
            <xdr:nvSpPr>
              <xdr:cNvPr id="11305" name="Drop Down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552450" y="79724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6" name="Drop Down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42925" y="8220075"/>
              <a:ext cx="5429250" cy="228600"/>
              <a:chOff x="552450" y="8220075"/>
              <a:chExt cx="5448304" cy="228600"/>
            </a:xfrm>
          </xdr:grpSpPr>
          <xdr:sp macro="" textlink="">
            <xdr:nvSpPr>
              <xdr:cNvPr id="11307" name="Drop Down 43" hidden="1">
                <a:extLst>
                  <a:ext uri="{63B3BB69-23CF-44E3-9099-C40C66FF867C}">
                    <a14:compatExt spid="_x0000_s11307"/>
                  </a:ext>
                  <a:ext uri="{FF2B5EF4-FFF2-40B4-BE49-F238E27FC236}">
                    <a16:creationId xmlns:a16="http://schemas.microsoft.com/office/drawing/2014/main" id="{00000000-0008-0000-0500-00002B2C0000}"/>
                  </a:ext>
                </a:extLst>
              </xdr:cNvPr>
              <xdr:cNvSpPr/>
            </xdr:nvSpPr>
            <xdr:spPr bwMode="auto">
              <a:xfrm>
                <a:off x="3714752" y="82200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1308" name="Drop Down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1309" name="Drop Down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2290" name="Drop Down 2" hidden="1">
              <a:extLst>
                <a:ext uri="{63B3BB69-23CF-44E3-9099-C40C66FF867C}">
                  <a14:compatExt spid="_x0000_s12290"/>
                </a:ext>
                <a:ext uri="{FF2B5EF4-FFF2-40B4-BE49-F238E27FC236}">
                  <a16:creationId xmlns:a16="http://schemas.microsoft.com/office/drawing/2014/main" id="{00000000-0008-0000-06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6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6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6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2294" name="Drop Dow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2296" name="Drop Dow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2297" name="Drop Down 9" hidden="1">
              <a:extLst>
                <a:ext uri="{63B3BB69-23CF-44E3-9099-C40C66FF867C}">
                  <a14:compatExt spid="_x0000_s12297"/>
                </a:ext>
                <a:ext uri="{FF2B5EF4-FFF2-40B4-BE49-F238E27FC236}">
                  <a16:creationId xmlns:a16="http://schemas.microsoft.com/office/drawing/2014/main" id="{00000000-0008-0000-06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2298" name="Drop Down 10" hidden="1">
              <a:extLst>
                <a:ext uri="{63B3BB69-23CF-44E3-9099-C40C66FF867C}">
                  <a14:compatExt spid="_x0000_s12298"/>
                </a:ext>
                <a:ext uri="{FF2B5EF4-FFF2-40B4-BE49-F238E27FC236}">
                  <a16:creationId xmlns:a16="http://schemas.microsoft.com/office/drawing/2014/main" id="{00000000-0008-0000-06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2299" name="Drop Down 11" hidden="1">
              <a:extLst>
                <a:ext uri="{63B3BB69-23CF-44E3-9099-C40C66FF867C}">
                  <a14:compatExt spid="_x0000_s12299"/>
                </a:ext>
                <a:ext uri="{FF2B5EF4-FFF2-40B4-BE49-F238E27FC236}">
                  <a16:creationId xmlns:a16="http://schemas.microsoft.com/office/drawing/2014/main" id="{00000000-0008-0000-06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2300" name="Drop Down 12" hidden="1">
              <a:extLst>
                <a:ext uri="{63B3BB69-23CF-44E3-9099-C40C66FF867C}">
                  <a14:compatExt spid="_x0000_s12300"/>
                </a:ext>
                <a:ext uri="{FF2B5EF4-FFF2-40B4-BE49-F238E27FC236}">
                  <a16:creationId xmlns:a16="http://schemas.microsoft.com/office/drawing/2014/main" id="{00000000-0008-0000-06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6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2302" name="Drop Down 14" hidden="1">
              <a:extLst>
                <a:ext uri="{63B3BB69-23CF-44E3-9099-C40C66FF867C}">
                  <a14:compatExt spid="_x0000_s12302"/>
                </a:ext>
                <a:ext uri="{FF2B5EF4-FFF2-40B4-BE49-F238E27FC236}">
                  <a16:creationId xmlns:a16="http://schemas.microsoft.com/office/drawing/2014/main" id="{00000000-0008-0000-06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2303" name="Drop Down 15" hidden="1">
              <a:extLst>
                <a:ext uri="{63B3BB69-23CF-44E3-9099-C40C66FF867C}">
                  <a14:compatExt spid="_x0000_s12303"/>
                </a:ext>
                <a:ext uri="{FF2B5EF4-FFF2-40B4-BE49-F238E27FC236}">
                  <a16:creationId xmlns:a16="http://schemas.microsoft.com/office/drawing/2014/main" id="{00000000-0008-0000-06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2304" name="Drop Down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2305" name="Drop Down 17" hidden="1">
              <a:extLst>
                <a:ext uri="{63B3BB69-23CF-44E3-9099-C40C66FF867C}">
                  <a14:compatExt spid="_x0000_s12305"/>
                </a:ext>
                <a:ext uri="{FF2B5EF4-FFF2-40B4-BE49-F238E27FC236}">
                  <a16:creationId xmlns:a16="http://schemas.microsoft.com/office/drawing/2014/main" id="{00000000-0008-0000-06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2306" name="Drop Down 18" hidden="1">
              <a:extLst>
                <a:ext uri="{63B3BB69-23CF-44E3-9099-C40C66FF867C}">
                  <a14:compatExt spid="_x0000_s12306"/>
                </a:ext>
                <a:ext uri="{FF2B5EF4-FFF2-40B4-BE49-F238E27FC236}">
                  <a16:creationId xmlns:a16="http://schemas.microsoft.com/office/drawing/2014/main" id="{00000000-0008-0000-06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2307" name="Drop Down 19" hidden="1">
              <a:extLst>
                <a:ext uri="{63B3BB69-23CF-44E3-9099-C40C66FF867C}">
                  <a14:compatExt spid="_x0000_s12307"/>
                </a:ext>
                <a:ext uri="{FF2B5EF4-FFF2-40B4-BE49-F238E27FC236}">
                  <a16:creationId xmlns:a16="http://schemas.microsoft.com/office/drawing/2014/main" id="{00000000-0008-0000-06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2308" name="Drop Down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542925" y="7229475"/>
              <a:ext cx="5429250" cy="228600"/>
              <a:chOff x="552450" y="7229475"/>
              <a:chExt cx="5448304" cy="228600"/>
            </a:xfrm>
          </xdr:grpSpPr>
          <xdr:sp macro="" textlink="">
            <xdr:nvSpPr>
              <xdr:cNvPr id="12661" name="Drop Down 373" hidden="1">
                <a:extLst>
                  <a:ext uri="{63B3BB69-23CF-44E3-9099-C40C66FF867C}">
                    <a14:compatExt spid="_x0000_s12661"/>
                  </a:ext>
                  <a:ext uri="{FF2B5EF4-FFF2-40B4-BE49-F238E27FC236}">
                    <a16:creationId xmlns:a16="http://schemas.microsoft.com/office/drawing/2014/main" id="{00000000-0008-0000-0600-000075310000}"/>
                  </a:ext>
                </a:extLst>
              </xdr:cNvPr>
              <xdr:cNvSpPr/>
            </xdr:nvSpPr>
            <xdr:spPr bwMode="auto">
              <a:xfrm>
                <a:off x="3714752" y="72294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2662" name="Drop Down 374" hidden="1">
                <a:extLst>
                  <a:ext uri="{63B3BB69-23CF-44E3-9099-C40C66FF867C}">
                    <a14:compatExt spid="_x0000_s12662"/>
                  </a:ext>
                  <a:ext uri="{FF2B5EF4-FFF2-40B4-BE49-F238E27FC236}">
                    <a16:creationId xmlns:a16="http://schemas.microsoft.com/office/drawing/2014/main" id="{00000000-0008-0000-0600-00007631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3" name="Drop Down 375" hidden="1">
                <a:extLst>
                  <a:ext uri="{63B3BB69-23CF-44E3-9099-C40C66FF867C}">
                    <a14:compatExt spid="_x0000_s12663"/>
                  </a:ext>
                  <a:ext uri="{FF2B5EF4-FFF2-40B4-BE49-F238E27FC236}">
                    <a16:creationId xmlns:a16="http://schemas.microsoft.com/office/drawing/2014/main" id="{00000000-0008-0000-0600-00007731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542925" y="7477125"/>
              <a:ext cx="5429250" cy="228600"/>
              <a:chOff x="552450" y="7477125"/>
              <a:chExt cx="5448304" cy="228600"/>
            </a:xfrm>
          </xdr:grpSpPr>
          <xdr:sp macro="" textlink="">
            <xdr:nvSpPr>
              <xdr:cNvPr id="12664" name="Drop Down 376" hidden="1">
                <a:extLst>
                  <a:ext uri="{63B3BB69-23CF-44E3-9099-C40C66FF867C}">
                    <a14:compatExt spid="_x0000_s12664"/>
                  </a:ext>
                  <a:ext uri="{FF2B5EF4-FFF2-40B4-BE49-F238E27FC236}">
                    <a16:creationId xmlns:a16="http://schemas.microsoft.com/office/drawing/2014/main" id="{00000000-0008-0000-0600-000078310000}"/>
                  </a:ext>
                </a:extLst>
              </xdr:cNvPr>
              <xdr:cNvSpPr/>
            </xdr:nvSpPr>
            <xdr:spPr bwMode="auto">
              <a:xfrm>
                <a:off x="3714752" y="747712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2665" name="Drop Down 377" hidden="1">
                <a:extLst>
                  <a:ext uri="{63B3BB69-23CF-44E3-9099-C40C66FF867C}">
                    <a14:compatExt spid="_x0000_s12665"/>
                  </a:ext>
                  <a:ext uri="{FF2B5EF4-FFF2-40B4-BE49-F238E27FC236}">
                    <a16:creationId xmlns:a16="http://schemas.microsoft.com/office/drawing/2014/main" id="{00000000-0008-0000-0600-00007931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6" name="Drop Down 378" hidden="1">
                <a:extLst>
                  <a:ext uri="{63B3BB69-23CF-44E3-9099-C40C66FF867C}">
                    <a14:compatExt spid="_x0000_s12666"/>
                  </a:ext>
                  <a:ext uri="{FF2B5EF4-FFF2-40B4-BE49-F238E27FC236}">
                    <a16:creationId xmlns:a16="http://schemas.microsoft.com/office/drawing/2014/main" id="{00000000-0008-0000-0600-00007A31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600-000004000000}"/>
                </a:ext>
              </a:extLst>
            </xdr:cNvPr>
            <xdr:cNvGrpSpPr/>
          </xdr:nvGrpSpPr>
          <xdr:grpSpPr>
            <a:xfrm>
              <a:off x="542925" y="7724775"/>
              <a:ext cx="5429250" cy="228600"/>
              <a:chOff x="552450" y="7724775"/>
              <a:chExt cx="5448304" cy="228600"/>
            </a:xfrm>
          </xdr:grpSpPr>
          <xdr:sp macro="" textlink="">
            <xdr:nvSpPr>
              <xdr:cNvPr id="12667" name="Drop Down 379" hidden="1">
                <a:extLst>
                  <a:ext uri="{63B3BB69-23CF-44E3-9099-C40C66FF867C}">
                    <a14:compatExt spid="_x0000_s12667"/>
                  </a:ext>
                  <a:ext uri="{FF2B5EF4-FFF2-40B4-BE49-F238E27FC236}">
                    <a16:creationId xmlns:a16="http://schemas.microsoft.com/office/drawing/2014/main" id="{00000000-0008-0000-0600-00007B310000}"/>
                  </a:ext>
                </a:extLst>
              </xdr:cNvPr>
              <xdr:cNvSpPr/>
            </xdr:nvSpPr>
            <xdr:spPr bwMode="auto">
              <a:xfrm>
                <a:off x="3714752" y="77247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2668" name="Drop Down 380" hidden="1">
                <a:extLst>
                  <a:ext uri="{63B3BB69-23CF-44E3-9099-C40C66FF867C}">
                    <a14:compatExt spid="_x0000_s12668"/>
                  </a:ext>
                  <a:ext uri="{FF2B5EF4-FFF2-40B4-BE49-F238E27FC236}">
                    <a16:creationId xmlns:a16="http://schemas.microsoft.com/office/drawing/2014/main" id="{00000000-0008-0000-0600-00007C31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69" name="Drop Down 381" hidden="1">
                <a:extLst>
                  <a:ext uri="{63B3BB69-23CF-44E3-9099-C40C66FF867C}">
                    <a14:compatExt spid="_x0000_s12669"/>
                  </a:ext>
                  <a:ext uri="{FF2B5EF4-FFF2-40B4-BE49-F238E27FC236}">
                    <a16:creationId xmlns:a16="http://schemas.microsoft.com/office/drawing/2014/main" id="{00000000-0008-0000-0600-00007D31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238125</xdr:colOff>
          <xdr:row>38</xdr:row>
          <xdr:rowOff>238125</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542925" y="7972425"/>
              <a:ext cx="5429250" cy="228600"/>
              <a:chOff x="552450" y="7972425"/>
              <a:chExt cx="5448304" cy="228600"/>
            </a:xfrm>
          </xdr:grpSpPr>
          <xdr:sp macro="" textlink="">
            <xdr:nvSpPr>
              <xdr:cNvPr id="12670" name="Drop Down 382" hidden="1">
                <a:extLst>
                  <a:ext uri="{63B3BB69-23CF-44E3-9099-C40C66FF867C}">
                    <a14:compatExt spid="_x0000_s12670"/>
                  </a:ext>
                  <a:ext uri="{FF2B5EF4-FFF2-40B4-BE49-F238E27FC236}">
                    <a16:creationId xmlns:a16="http://schemas.microsoft.com/office/drawing/2014/main" id="{00000000-0008-0000-0600-00007E310000}"/>
                  </a:ext>
                </a:extLst>
              </xdr:cNvPr>
              <xdr:cNvSpPr/>
            </xdr:nvSpPr>
            <xdr:spPr bwMode="auto">
              <a:xfrm>
                <a:off x="3714752" y="797242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2671" name="Drop Down 383" hidden="1">
                <a:extLst>
                  <a:ext uri="{63B3BB69-23CF-44E3-9099-C40C66FF867C}">
                    <a14:compatExt spid="_x0000_s12671"/>
                  </a:ext>
                  <a:ext uri="{FF2B5EF4-FFF2-40B4-BE49-F238E27FC236}">
                    <a16:creationId xmlns:a16="http://schemas.microsoft.com/office/drawing/2014/main" id="{00000000-0008-0000-0600-00007F310000}"/>
                  </a:ext>
                </a:extLst>
              </xdr:cNvPr>
              <xdr:cNvSpPr/>
            </xdr:nvSpPr>
            <xdr:spPr bwMode="auto">
              <a:xfrm>
                <a:off x="552450" y="79724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72" name="Drop Down 384" hidden="1">
                <a:extLst>
                  <a:ext uri="{63B3BB69-23CF-44E3-9099-C40C66FF867C}">
                    <a14:compatExt spid="_x0000_s12672"/>
                  </a:ext>
                  <a:ext uri="{FF2B5EF4-FFF2-40B4-BE49-F238E27FC236}">
                    <a16:creationId xmlns:a16="http://schemas.microsoft.com/office/drawing/2014/main" id="{00000000-0008-0000-0600-00008031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542925" y="8220075"/>
              <a:ext cx="5429250" cy="228600"/>
              <a:chOff x="552450" y="8220075"/>
              <a:chExt cx="5448304" cy="228600"/>
            </a:xfrm>
          </xdr:grpSpPr>
          <xdr:sp macro="" textlink="">
            <xdr:nvSpPr>
              <xdr:cNvPr id="12673" name="Drop Down 385" hidden="1">
                <a:extLst>
                  <a:ext uri="{63B3BB69-23CF-44E3-9099-C40C66FF867C}">
                    <a14:compatExt spid="_x0000_s12673"/>
                  </a:ext>
                  <a:ext uri="{FF2B5EF4-FFF2-40B4-BE49-F238E27FC236}">
                    <a16:creationId xmlns:a16="http://schemas.microsoft.com/office/drawing/2014/main" id="{00000000-0008-0000-0600-000081310000}"/>
                  </a:ext>
                </a:extLst>
              </xdr:cNvPr>
              <xdr:cNvSpPr/>
            </xdr:nvSpPr>
            <xdr:spPr bwMode="auto">
              <a:xfrm>
                <a:off x="3714752" y="82200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2674" name="Drop Down 386" hidden="1">
                <a:extLst>
                  <a:ext uri="{63B3BB69-23CF-44E3-9099-C40C66FF867C}">
                    <a14:compatExt spid="_x0000_s12674"/>
                  </a:ext>
                  <a:ext uri="{FF2B5EF4-FFF2-40B4-BE49-F238E27FC236}">
                    <a16:creationId xmlns:a16="http://schemas.microsoft.com/office/drawing/2014/main" id="{00000000-0008-0000-0600-00008231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2675" name="Drop Down 387" hidden="1">
                <a:extLst>
                  <a:ext uri="{63B3BB69-23CF-44E3-9099-C40C66FF867C}">
                    <a14:compatExt spid="_x0000_s12675"/>
                  </a:ext>
                  <a:ext uri="{FF2B5EF4-FFF2-40B4-BE49-F238E27FC236}">
                    <a16:creationId xmlns:a16="http://schemas.microsoft.com/office/drawing/2014/main" id="{00000000-0008-0000-0600-00008331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xdr:colOff>
          <xdr:row>10</xdr:row>
          <xdr:rowOff>19050</xdr:rowOff>
        </xdr:from>
        <xdr:to>
          <xdr:col>26</xdr:col>
          <xdr:colOff>247650</xdr:colOff>
          <xdr:row>10</xdr:row>
          <xdr:rowOff>219075</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11</xdr:row>
          <xdr:rowOff>19050</xdr:rowOff>
        </xdr:from>
        <xdr:to>
          <xdr:col>26</xdr:col>
          <xdr:colOff>247650</xdr:colOff>
          <xdr:row>11</xdr:row>
          <xdr:rowOff>219075</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26</xdr:col>
          <xdr:colOff>247650</xdr:colOff>
          <xdr:row>12</xdr:row>
          <xdr:rowOff>219075</xdr:rowOff>
        </xdr:to>
        <xdr:sp macro="" textlink="">
          <xdr:nvSpPr>
            <xdr:cNvPr id="13315" name="Drop Down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xdr:row>
          <xdr:rowOff>19050</xdr:rowOff>
        </xdr:from>
        <xdr:to>
          <xdr:col>26</xdr:col>
          <xdr:colOff>247650</xdr:colOff>
          <xdr:row>13</xdr:row>
          <xdr:rowOff>219075</xdr:rowOff>
        </xdr:to>
        <xdr:sp macro="" textlink="">
          <xdr:nvSpPr>
            <xdr:cNvPr id="13316" name="Drop Down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xdr:row>
          <xdr:rowOff>19050</xdr:rowOff>
        </xdr:from>
        <xdr:to>
          <xdr:col>26</xdr:col>
          <xdr:colOff>247650</xdr:colOff>
          <xdr:row>14</xdr:row>
          <xdr:rowOff>219075</xdr:rowOff>
        </xdr:to>
        <xdr:sp macro="" textlink="">
          <xdr:nvSpPr>
            <xdr:cNvPr id="13317" name="Drop Down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19050</xdr:rowOff>
        </xdr:from>
        <xdr:to>
          <xdr:col>26</xdr:col>
          <xdr:colOff>247650</xdr:colOff>
          <xdr:row>15</xdr:row>
          <xdr:rowOff>219075</xdr:rowOff>
        </xdr:to>
        <xdr:sp macro="" textlink="">
          <xdr:nvSpPr>
            <xdr:cNvPr id="13318" name="Drop Down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xdr:row>
          <xdr:rowOff>19050</xdr:rowOff>
        </xdr:from>
        <xdr:to>
          <xdr:col>26</xdr:col>
          <xdr:colOff>247650</xdr:colOff>
          <xdr:row>16</xdr:row>
          <xdr:rowOff>219075</xdr:rowOff>
        </xdr:to>
        <xdr:sp macro="" textlink="">
          <xdr:nvSpPr>
            <xdr:cNvPr id="13319" name="Drop Down 7" hidden="1">
              <a:extLst>
                <a:ext uri="{63B3BB69-23CF-44E3-9099-C40C66FF867C}">
                  <a14:compatExt spid="_x0000_s13319"/>
                </a:ext>
                <a:ext uri="{FF2B5EF4-FFF2-40B4-BE49-F238E27FC236}">
                  <a16:creationId xmlns:a16="http://schemas.microsoft.com/office/drawing/2014/main" id="{00000000-0008-0000-07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xdr:row>
          <xdr:rowOff>19050</xdr:rowOff>
        </xdr:from>
        <xdr:to>
          <xdr:col>26</xdr:col>
          <xdr:colOff>247650</xdr:colOff>
          <xdr:row>17</xdr:row>
          <xdr:rowOff>219075</xdr:rowOff>
        </xdr:to>
        <xdr:sp macro="" textlink="">
          <xdr:nvSpPr>
            <xdr:cNvPr id="13320" name="Drop Down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18</xdr:row>
          <xdr:rowOff>19050</xdr:rowOff>
        </xdr:from>
        <xdr:to>
          <xdr:col>26</xdr:col>
          <xdr:colOff>247650</xdr:colOff>
          <xdr:row>18</xdr:row>
          <xdr:rowOff>219075</xdr:rowOff>
        </xdr:to>
        <xdr:sp macro="" textlink="">
          <xdr:nvSpPr>
            <xdr:cNvPr id="13321" name="Drop Down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19050</xdr:rowOff>
        </xdr:from>
        <xdr:to>
          <xdr:col>26</xdr:col>
          <xdr:colOff>247650</xdr:colOff>
          <xdr:row>19</xdr:row>
          <xdr:rowOff>219075</xdr:rowOff>
        </xdr:to>
        <xdr:sp macro="" textlink="">
          <xdr:nvSpPr>
            <xdr:cNvPr id="13322" name="Drop Down 10"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19050</xdr:rowOff>
        </xdr:from>
        <xdr:to>
          <xdr:col>26</xdr:col>
          <xdr:colOff>247650</xdr:colOff>
          <xdr:row>20</xdr:row>
          <xdr:rowOff>219075</xdr:rowOff>
        </xdr:to>
        <xdr:sp macro="" textlink="">
          <xdr:nvSpPr>
            <xdr:cNvPr id="13323" name="Drop Down 11" hidden="1">
              <a:extLst>
                <a:ext uri="{63B3BB69-23CF-44E3-9099-C40C66FF867C}">
                  <a14:compatExt spid="_x0000_s13323"/>
                </a:ext>
                <a:ext uri="{FF2B5EF4-FFF2-40B4-BE49-F238E27FC236}">
                  <a16:creationId xmlns:a16="http://schemas.microsoft.com/office/drawing/2014/main" id="{00000000-0008-0000-07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xdr:row>
          <xdr:rowOff>19050</xdr:rowOff>
        </xdr:from>
        <xdr:to>
          <xdr:col>26</xdr:col>
          <xdr:colOff>247650</xdr:colOff>
          <xdr:row>21</xdr:row>
          <xdr:rowOff>219075</xdr:rowOff>
        </xdr:to>
        <xdr:sp macro="" textlink="">
          <xdr:nvSpPr>
            <xdr:cNvPr id="13324" name="Drop Down 12"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xdr:row>
          <xdr:rowOff>19050</xdr:rowOff>
        </xdr:from>
        <xdr:to>
          <xdr:col>26</xdr:col>
          <xdr:colOff>247650</xdr:colOff>
          <xdr:row>22</xdr:row>
          <xdr:rowOff>219075</xdr:rowOff>
        </xdr:to>
        <xdr:sp macro="" textlink="">
          <xdr:nvSpPr>
            <xdr:cNvPr id="13325" name="Drop Down 13" hidden="1">
              <a:extLst>
                <a:ext uri="{63B3BB69-23CF-44E3-9099-C40C66FF867C}">
                  <a14:compatExt spid="_x0000_s13325"/>
                </a:ext>
                <a:ext uri="{FF2B5EF4-FFF2-40B4-BE49-F238E27FC236}">
                  <a16:creationId xmlns:a16="http://schemas.microsoft.com/office/drawing/2014/main" id="{00000000-0008-0000-07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23</xdr:row>
          <xdr:rowOff>19050</xdr:rowOff>
        </xdr:from>
        <xdr:to>
          <xdr:col>26</xdr:col>
          <xdr:colOff>247650</xdr:colOff>
          <xdr:row>23</xdr:row>
          <xdr:rowOff>219075</xdr:rowOff>
        </xdr:to>
        <xdr:sp macro="" textlink="">
          <xdr:nvSpPr>
            <xdr:cNvPr id="13326" name="Drop Down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19050</xdr:rowOff>
        </xdr:from>
        <xdr:to>
          <xdr:col>26</xdr:col>
          <xdr:colOff>247650</xdr:colOff>
          <xdr:row>24</xdr:row>
          <xdr:rowOff>219075</xdr:rowOff>
        </xdr:to>
        <xdr:sp macro="" textlink="">
          <xdr:nvSpPr>
            <xdr:cNvPr id="13327" name="Drop Down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xdr:rowOff>
        </xdr:from>
        <xdr:to>
          <xdr:col>26</xdr:col>
          <xdr:colOff>247650</xdr:colOff>
          <xdr:row>25</xdr:row>
          <xdr:rowOff>219075</xdr:rowOff>
        </xdr:to>
        <xdr:sp macro="" textlink="">
          <xdr:nvSpPr>
            <xdr:cNvPr id="13328" name="Drop Down 16" hidden="1">
              <a:extLst>
                <a:ext uri="{63B3BB69-23CF-44E3-9099-C40C66FF867C}">
                  <a14:compatExt spid="_x0000_s13328"/>
                </a:ext>
                <a:ext uri="{FF2B5EF4-FFF2-40B4-BE49-F238E27FC236}">
                  <a16:creationId xmlns:a16="http://schemas.microsoft.com/office/drawing/2014/main" id="{00000000-0008-0000-07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xdr:row>
          <xdr:rowOff>19050</xdr:rowOff>
        </xdr:from>
        <xdr:to>
          <xdr:col>26</xdr:col>
          <xdr:colOff>247650</xdr:colOff>
          <xdr:row>26</xdr:row>
          <xdr:rowOff>219075</xdr:rowOff>
        </xdr:to>
        <xdr:sp macro="" textlink="">
          <xdr:nvSpPr>
            <xdr:cNvPr id="13329" name="Drop Down 17" hidden="1">
              <a:extLst>
                <a:ext uri="{63B3BB69-23CF-44E3-9099-C40C66FF867C}">
                  <a14:compatExt spid="_x0000_s13329"/>
                </a:ext>
                <a:ext uri="{FF2B5EF4-FFF2-40B4-BE49-F238E27FC236}">
                  <a16:creationId xmlns:a16="http://schemas.microsoft.com/office/drawing/2014/main" id="{00000000-0008-0000-07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19050</xdr:rowOff>
        </xdr:from>
        <xdr:to>
          <xdr:col>26</xdr:col>
          <xdr:colOff>247650</xdr:colOff>
          <xdr:row>27</xdr:row>
          <xdr:rowOff>219075</xdr:rowOff>
        </xdr:to>
        <xdr:sp macro="" textlink="">
          <xdr:nvSpPr>
            <xdr:cNvPr id="13330" name="Drop Down 18" hidden="1">
              <a:extLst>
                <a:ext uri="{63B3BB69-23CF-44E3-9099-C40C66FF867C}">
                  <a14:compatExt spid="_x0000_s13330"/>
                </a:ext>
                <a:ext uri="{FF2B5EF4-FFF2-40B4-BE49-F238E27FC236}">
                  <a16:creationId xmlns:a16="http://schemas.microsoft.com/office/drawing/2014/main" id="{00000000-0008-0000-07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19050</xdr:rowOff>
        </xdr:from>
        <xdr:to>
          <xdr:col>26</xdr:col>
          <xdr:colOff>247650</xdr:colOff>
          <xdr:row>28</xdr:row>
          <xdr:rowOff>219075</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id="{00000000-0008-0000-07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29</xdr:row>
          <xdr:rowOff>19050</xdr:rowOff>
        </xdr:from>
        <xdr:to>
          <xdr:col>26</xdr:col>
          <xdr:colOff>247650</xdr:colOff>
          <xdr:row>29</xdr:row>
          <xdr:rowOff>219075</xdr:rowOff>
        </xdr:to>
        <xdr:sp macro="" textlink="">
          <xdr:nvSpPr>
            <xdr:cNvPr id="13332" name="Drop Down 20" hidden="1">
              <a:extLst>
                <a:ext uri="{63B3BB69-23CF-44E3-9099-C40C66FF867C}">
                  <a14:compatExt spid="_x0000_s13332"/>
                </a:ext>
                <a:ext uri="{FF2B5EF4-FFF2-40B4-BE49-F238E27FC236}">
                  <a16:creationId xmlns:a16="http://schemas.microsoft.com/office/drawing/2014/main" id="{00000000-0008-0000-07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35</xdr:row>
          <xdr:rowOff>9525</xdr:rowOff>
        </xdr:from>
        <xdr:to>
          <xdr:col>26</xdr:col>
          <xdr:colOff>238125</xdr:colOff>
          <xdr:row>35</xdr:row>
          <xdr:rowOff>238125</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542925" y="7229475"/>
              <a:ext cx="5429250" cy="228600"/>
              <a:chOff x="552450" y="7229475"/>
              <a:chExt cx="5448304" cy="228600"/>
            </a:xfrm>
          </xdr:grpSpPr>
          <xdr:sp macro="" textlink="">
            <xdr:nvSpPr>
              <xdr:cNvPr id="13343" name="Drop Down 31" hidden="1">
                <a:extLst>
                  <a:ext uri="{63B3BB69-23CF-44E3-9099-C40C66FF867C}">
                    <a14:compatExt spid="_x0000_s13343"/>
                  </a:ext>
                  <a:ext uri="{FF2B5EF4-FFF2-40B4-BE49-F238E27FC236}">
                    <a16:creationId xmlns:a16="http://schemas.microsoft.com/office/drawing/2014/main" id="{00000000-0008-0000-0700-00001F340000}"/>
                  </a:ext>
                </a:extLst>
              </xdr:cNvPr>
              <xdr:cNvSpPr/>
            </xdr:nvSpPr>
            <xdr:spPr bwMode="auto">
              <a:xfrm>
                <a:off x="3714752" y="72294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3344" name="Drop Down 32" hidden="1">
                <a:extLst>
                  <a:ext uri="{63B3BB69-23CF-44E3-9099-C40C66FF867C}">
                    <a14:compatExt spid="_x0000_s13344"/>
                  </a:ext>
                  <a:ext uri="{FF2B5EF4-FFF2-40B4-BE49-F238E27FC236}">
                    <a16:creationId xmlns:a16="http://schemas.microsoft.com/office/drawing/2014/main" id="{00000000-0008-0000-0700-000020340000}"/>
                  </a:ext>
                </a:extLst>
              </xdr:cNvPr>
              <xdr:cNvSpPr/>
            </xdr:nvSpPr>
            <xdr:spPr bwMode="auto">
              <a:xfrm>
                <a:off x="552450" y="72294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45" name="Drop Down 33" hidden="1">
                <a:extLst>
                  <a:ext uri="{63B3BB69-23CF-44E3-9099-C40C66FF867C}">
                    <a14:compatExt spid="_x0000_s13345"/>
                  </a:ext>
                  <a:ext uri="{FF2B5EF4-FFF2-40B4-BE49-F238E27FC236}">
                    <a16:creationId xmlns:a16="http://schemas.microsoft.com/office/drawing/2014/main" id="{00000000-0008-0000-0700-000021340000}"/>
                  </a:ext>
                </a:extLst>
              </xdr:cNvPr>
              <xdr:cNvSpPr/>
            </xdr:nvSpPr>
            <xdr:spPr bwMode="auto">
              <a:xfrm>
                <a:off x="2314575" y="72294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36</xdr:row>
          <xdr:rowOff>9525</xdr:rowOff>
        </xdr:from>
        <xdr:to>
          <xdr:col>26</xdr:col>
          <xdr:colOff>238125</xdr:colOff>
          <xdr:row>36</xdr:row>
          <xdr:rowOff>238125</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42925" y="7477125"/>
              <a:ext cx="5429250" cy="228600"/>
              <a:chOff x="552450" y="7477125"/>
              <a:chExt cx="5448304" cy="228600"/>
            </a:xfrm>
          </xdr:grpSpPr>
          <xdr:sp macro="" textlink="">
            <xdr:nvSpPr>
              <xdr:cNvPr id="13346" name="Drop Down 34" hidden="1">
                <a:extLst>
                  <a:ext uri="{63B3BB69-23CF-44E3-9099-C40C66FF867C}">
                    <a14:compatExt spid="_x0000_s13346"/>
                  </a:ext>
                  <a:ext uri="{FF2B5EF4-FFF2-40B4-BE49-F238E27FC236}">
                    <a16:creationId xmlns:a16="http://schemas.microsoft.com/office/drawing/2014/main" id="{00000000-0008-0000-0700-000022340000}"/>
                  </a:ext>
                </a:extLst>
              </xdr:cNvPr>
              <xdr:cNvSpPr/>
            </xdr:nvSpPr>
            <xdr:spPr bwMode="auto">
              <a:xfrm>
                <a:off x="3714752" y="747712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3347" name="Drop Down 35" hidden="1">
                <a:extLst>
                  <a:ext uri="{63B3BB69-23CF-44E3-9099-C40C66FF867C}">
                    <a14:compatExt spid="_x0000_s13347"/>
                  </a:ext>
                  <a:ext uri="{FF2B5EF4-FFF2-40B4-BE49-F238E27FC236}">
                    <a16:creationId xmlns:a16="http://schemas.microsoft.com/office/drawing/2014/main" id="{00000000-0008-0000-0700-000023340000}"/>
                  </a:ext>
                </a:extLst>
              </xdr:cNvPr>
              <xdr:cNvSpPr/>
            </xdr:nvSpPr>
            <xdr:spPr bwMode="auto">
              <a:xfrm>
                <a:off x="552450" y="74771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48" name="Drop Down 36" hidden="1">
                <a:extLst>
                  <a:ext uri="{63B3BB69-23CF-44E3-9099-C40C66FF867C}">
                    <a14:compatExt spid="_x0000_s13348"/>
                  </a:ext>
                  <a:ext uri="{FF2B5EF4-FFF2-40B4-BE49-F238E27FC236}">
                    <a16:creationId xmlns:a16="http://schemas.microsoft.com/office/drawing/2014/main" id="{00000000-0008-0000-0700-000024340000}"/>
                  </a:ext>
                </a:extLst>
              </xdr:cNvPr>
              <xdr:cNvSpPr/>
            </xdr:nvSpPr>
            <xdr:spPr bwMode="auto">
              <a:xfrm>
                <a:off x="2314575" y="74771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37</xdr:row>
          <xdr:rowOff>9525</xdr:rowOff>
        </xdr:from>
        <xdr:to>
          <xdr:col>26</xdr:col>
          <xdr:colOff>238125</xdr:colOff>
          <xdr:row>37</xdr:row>
          <xdr:rowOff>238125</xdr:rowOff>
        </xdr:to>
        <xdr:grpSp>
          <xdr:nvGrpSpPr>
            <xdr:cNvPr id="4" name="Group 3">
              <a:extLst>
                <a:ext uri="{FF2B5EF4-FFF2-40B4-BE49-F238E27FC236}">
                  <a16:creationId xmlns:a16="http://schemas.microsoft.com/office/drawing/2014/main" id="{00000000-0008-0000-0700-000004000000}"/>
                </a:ext>
              </a:extLst>
            </xdr:cNvPr>
            <xdr:cNvGrpSpPr/>
          </xdr:nvGrpSpPr>
          <xdr:grpSpPr>
            <a:xfrm>
              <a:off x="542925" y="7724775"/>
              <a:ext cx="5429250" cy="228600"/>
              <a:chOff x="552450" y="7724775"/>
              <a:chExt cx="5448304" cy="228600"/>
            </a:xfrm>
          </xdr:grpSpPr>
          <xdr:sp macro="" textlink="">
            <xdr:nvSpPr>
              <xdr:cNvPr id="13349" name="Drop Down 37" hidden="1">
                <a:extLst>
                  <a:ext uri="{63B3BB69-23CF-44E3-9099-C40C66FF867C}">
                    <a14:compatExt spid="_x0000_s13349"/>
                  </a:ext>
                  <a:ext uri="{FF2B5EF4-FFF2-40B4-BE49-F238E27FC236}">
                    <a16:creationId xmlns:a16="http://schemas.microsoft.com/office/drawing/2014/main" id="{00000000-0008-0000-0700-000025340000}"/>
                  </a:ext>
                </a:extLst>
              </xdr:cNvPr>
              <xdr:cNvSpPr/>
            </xdr:nvSpPr>
            <xdr:spPr bwMode="auto">
              <a:xfrm>
                <a:off x="3714752" y="77247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3350" name="Drop Down 38" hidden="1">
                <a:extLst>
                  <a:ext uri="{63B3BB69-23CF-44E3-9099-C40C66FF867C}">
                    <a14:compatExt spid="_x0000_s13350"/>
                  </a:ext>
                  <a:ext uri="{FF2B5EF4-FFF2-40B4-BE49-F238E27FC236}">
                    <a16:creationId xmlns:a16="http://schemas.microsoft.com/office/drawing/2014/main" id="{00000000-0008-0000-0700-000026340000}"/>
                  </a:ext>
                </a:extLst>
              </xdr:cNvPr>
              <xdr:cNvSpPr/>
            </xdr:nvSpPr>
            <xdr:spPr bwMode="auto">
              <a:xfrm>
                <a:off x="552450" y="77247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1" name="Drop Down 39" hidden="1">
                <a:extLst>
                  <a:ext uri="{63B3BB69-23CF-44E3-9099-C40C66FF867C}">
                    <a14:compatExt spid="_x0000_s13351"/>
                  </a:ext>
                  <a:ext uri="{FF2B5EF4-FFF2-40B4-BE49-F238E27FC236}">
                    <a16:creationId xmlns:a16="http://schemas.microsoft.com/office/drawing/2014/main" id="{00000000-0008-0000-0700-000027340000}"/>
                  </a:ext>
                </a:extLst>
              </xdr:cNvPr>
              <xdr:cNvSpPr/>
            </xdr:nvSpPr>
            <xdr:spPr bwMode="auto">
              <a:xfrm>
                <a:off x="2314575" y="77247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38</xdr:row>
          <xdr:rowOff>9525</xdr:rowOff>
        </xdr:from>
        <xdr:to>
          <xdr:col>26</xdr:col>
          <xdr:colOff>238125</xdr:colOff>
          <xdr:row>38</xdr:row>
          <xdr:rowOff>238125</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542925" y="7972425"/>
              <a:ext cx="5429250" cy="228600"/>
              <a:chOff x="552450" y="7972425"/>
              <a:chExt cx="5448304" cy="228600"/>
            </a:xfrm>
          </xdr:grpSpPr>
          <xdr:sp macro="" textlink="">
            <xdr:nvSpPr>
              <xdr:cNvPr id="13352" name="Drop Down 40" hidden="1">
                <a:extLst>
                  <a:ext uri="{63B3BB69-23CF-44E3-9099-C40C66FF867C}">
                    <a14:compatExt spid="_x0000_s13352"/>
                  </a:ext>
                  <a:ext uri="{FF2B5EF4-FFF2-40B4-BE49-F238E27FC236}">
                    <a16:creationId xmlns:a16="http://schemas.microsoft.com/office/drawing/2014/main" id="{00000000-0008-0000-0700-000028340000}"/>
                  </a:ext>
                </a:extLst>
              </xdr:cNvPr>
              <xdr:cNvSpPr/>
            </xdr:nvSpPr>
            <xdr:spPr bwMode="auto">
              <a:xfrm>
                <a:off x="3714752" y="797242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3353" name="Drop Down 41" hidden="1">
                <a:extLst>
                  <a:ext uri="{63B3BB69-23CF-44E3-9099-C40C66FF867C}">
                    <a14:compatExt spid="_x0000_s13353"/>
                  </a:ext>
                  <a:ext uri="{FF2B5EF4-FFF2-40B4-BE49-F238E27FC236}">
                    <a16:creationId xmlns:a16="http://schemas.microsoft.com/office/drawing/2014/main" id="{00000000-0008-0000-0700-000029340000}"/>
                  </a:ext>
                </a:extLst>
              </xdr:cNvPr>
              <xdr:cNvSpPr/>
            </xdr:nvSpPr>
            <xdr:spPr bwMode="auto">
              <a:xfrm>
                <a:off x="552450" y="797242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4" name="Drop Down 42" hidden="1">
                <a:extLst>
                  <a:ext uri="{63B3BB69-23CF-44E3-9099-C40C66FF867C}">
                    <a14:compatExt spid="_x0000_s13354"/>
                  </a:ext>
                  <a:ext uri="{FF2B5EF4-FFF2-40B4-BE49-F238E27FC236}">
                    <a16:creationId xmlns:a16="http://schemas.microsoft.com/office/drawing/2014/main" id="{00000000-0008-0000-0700-00002A340000}"/>
                  </a:ext>
                </a:extLst>
              </xdr:cNvPr>
              <xdr:cNvSpPr/>
            </xdr:nvSpPr>
            <xdr:spPr bwMode="auto">
              <a:xfrm>
                <a:off x="2314575" y="797242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39</xdr:row>
          <xdr:rowOff>9525</xdr:rowOff>
        </xdr:from>
        <xdr:to>
          <xdr:col>26</xdr:col>
          <xdr:colOff>238125</xdr:colOff>
          <xdr:row>39</xdr:row>
          <xdr:rowOff>238125</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542925" y="8220075"/>
              <a:ext cx="5429250" cy="228600"/>
              <a:chOff x="552450" y="8220075"/>
              <a:chExt cx="5448304" cy="228600"/>
            </a:xfrm>
          </xdr:grpSpPr>
          <xdr:sp macro="" textlink="">
            <xdr:nvSpPr>
              <xdr:cNvPr id="13355" name="Drop Down 43" hidden="1">
                <a:extLst>
                  <a:ext uri="{63B3BB69-23CF-44E3-9099-C40C66FF867C}">
                    <a14:compatExt spid="_x0000_s13355"/>
                  </a:ext>
                  <a:ext uri="{FF2B5EF4-FFF2-40B4-BE49-F238E27FC236}">
                    <a16:creationId xmlns:a16="http://schemas.microsoft.com/office/drawing/2014/main" id="{00000000-0008-0000-0700-00002B340000}"/>
                  </a:ext>
                </a:extLst>
              </xdr:cNvPr>
              <xdr:cNvSpPr/>
            </xdr:nvSpPr>
            <xdr:spPr bwMode="auto">
              <a:xfrm>
                <a:off x="3714752" y="8220075"/>
                <a:ext cx="2286002" cy="228600"/>
              </a:xfrm>
              <a:prstGeom prst="rect">
                <a:avLst/>
              </a:prstGeom>
              <a:noFill/>
              <a:ln>
                <a:noFill/>
              </a:ln>
              <a:extLst>
                <a:ext uri="{91240B29-F687-4F45-9708-019B960494DF}">
                  <a14:hiddenLine w="9525">
                    <a:noFill/>
                    <a:miter lim="800000"/>
                    <a:headEnd/>
                    <a:tailEnd/>
                  </a14:hiddenLine>
                </a:ext>
              </a:extLst>
            </xdr:spPr>
          </xdr:sp>
          <xdr:sp macro="" textlink="">
            <xdr:nvSpPr>
              <xdr:cNvPr id="13356" name="Drop Down 44" hidden="1">
                <a:extLst>
                  <a:ext uri="{63B3BB69-23CF-44E3-9099-C40C66FF867C}">
                    <a14:compatExt spid="_x0000_s13356"/>
                  </a:ext>
                  <a:ext uri="{FF2B5EF4-FFF2-40B4-BE49-F238E27FC236}">
                    <a16:creationId xmlns:a16="http://schemas.microsoft.com/office/drawing/2014/main" id="{00000000-0008-0000-0700-00002C340000}"/>
                  </a:ext>
                </a:extLst>
              </xdr:cNvPr>
              <xdr:cNvSpPr/>
            </xdr:nvSpPr>
            <xdr:spPr bwMode="auto">
              <a:xfrm>
                <a:off x="552450" y="8220075"/>
                <a:ext cx="1733550" cy="228600"/>
              </a:xfrm>
              <a:prstGeom prst="rect">
                <a:avLst/>
              </a:prstGeom>
              <a:noFill/>
              <a:ln>
                <a:noFill/>
              </a:ln>
              <a:extLst>
                <a:ext uri="{91240B29-F687-4F45-9708-019B960494DF}">
                  <a14:hiddenLine w="9525">
                    <a:noFill/>
                    <a:miter lim="800000"/>
                    <a:headEnd/>
                    <a:tailEnd/>
                  </a14:hiddenLine>
                </a:ext>
              </a:extLst>
            </xdr:spPr>
          </xdr:sp>
          <xdr:sp macro="" textlink="">
            <xdr:nvSpPr>
              <xdr:cNvPr id="13357" name="Drop Down 45" hidden="1">
                <a:extLst>
                  <a:ext uri="{63B3BB69-23CF-44E3-9099-C40C66FF867C}">
                    <a14:compatExt spid="_x0000_s13357"/>
                  </a:ext>
                  <a:ext uri="{FF2B5EF4-FFF2-40B4-BE49-F238E27FC236}">
                    <a16:creationId xmlns:a16="http://schemas.microsoft.com/office/drawing/2014/main" id="{00000000-0008-0000-0700-00002D340000}"/>
                  </a:ext>
                </a:extLst>
              </xdr:cNvPr>
              <xdr:cNvSpPr/>
            </xdr:nvSpPr>
            <xdr:spPr bwMode="auto">
              <a:xfrm>
                <a:off x="2314575" y="8220075"/>
                <a:ext cx="1371600" cy="22860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15</xdr:row>
          <xdr:rowOff>152400</xdr:rowOff>
        </xdr:from>
        <xdr:to>
          <xdr:col>11</xdr:col>
          <xdr:colOff>19050</xdr:colOff>
          <xdr:row>17</xdr:row>
          <xdr:rowOff>0</xdr:rowOff>
        </xdr:to>
        <xdr:sp macro="" textlink="">
          <xdr:nvSpPr>
            <xdr:cNvPr id="18433" name="Drop Down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152400</xdr:rowOff>
        </xdr:from>
        <xdr:to>
          <xdr:col>13</xdr:col>
          <xdr:colOff>19050</xdr:colOff>
          <xdr:row>17</xdr:row>
          <xdr:rowOff>0</xdr:rowOff>
        </xdr:to>
        <xdr:sp macro="" textlink="">
          <xdr:nvSpPr>
            <xdr:cNvPr id="18434" name="Drop Down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152400</xdr:rowOff>
        </xdr:from>
        <xdr:to>
          <xdr:col>15</xdr:col>
          <xdr:colOff>19050</xdr:colOff>
          <xdr:row>17</xdr:row>
          <xdr:rowOff>0</xdr:rowOff>
        </xdr:to>
        <xdr:sp macro="" textlink="">
          <xdr:nvSpPr>
            <xdr:cNvPr id="18435" name="Drop Down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152400</xdr:rowOff>
        </xdr:from>
        <xdr:to>
          <xdr:col>17</xdr:col>
          <xdr:colOff>19050</xdr:colOff>
          <xdr:row>17</xdr:row>
          <xdr:rowOff>0</xdr:rowOff>
        </xdr:to>
        <xdr:sp macro="" textlink="">
          <xdr:nvSpPr>
            <xdr:cNvPr id="18436" name="Drop Down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152400</xdr:rowOff>
        </xdr:from>
        <xdr:to>
          <xdr:col>9</xdr:col>
          <xdr:colOff>19050</xdr:colOff>
          <xdr:row>17</xdr:row>
          <xdr:rowOff>0</xdr:rowOff>
        </xdr:to>
        <xdr:sp macro="" textlink="">
          <xdr:nvSpPr>
            <xdr:cNvPr id="18437" name="Drop Down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152400</xdr:rowOff>
        </xdr:from>
        <xdr:to>
          <xdr:col>17</xdr:col>
          <xdr:colOff>19050</xdr:colOff>
          <xdr:row>17</xdr:row>
          <xdr:rowOff>0</xdr:rowOff>
        </xdr:to>
        <xdr:sp macro="" textlink="">
          <xdr:nvSpPr>
            <xdr:cNvPr id="18438" name="Drop Down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1.xml"/><Relationship Id="rId3" Type="http://schemas.openxmlformats.org/officeDocument/2006/relationships/vmlDrawing" Target="../drawings/vmlDrawing8.vml"/><Relationship Id="rId7" Type="http://schemas.openxmlformats.org/officeDocument/2006/relationships/ctrlProp" Target="../ctrlProps/ctrlProp28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279.xml"/><Relationship Id="rId5" Type="http://schemas.openxmlformats.org/officeDocument/2006/relationships/ctrlProp" Target="../ctrlProps/ctrlProp278.xml"/><Relationship Id="rId4" Type="http://schemas.openxmlformats.org/officeDocument/2006/relationships/ctrlProp" Target="../ctrlProps/ctrlProp277.xml"/><Relationship Id="rId9" Type="http://schemas.openxmlformats.org/officeDocument/2006/relationships/ctrlProp" Target="../ctrlProps/ctrlProp28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7.xml"/><Relationship Id="rId21" Type="http://schemas.openxmlformats.org/officeDocument/2006/relationships/ctrlProp" Target="../ctrlProps/ctrlProp32.xml"/><Relationship Id="rId42" Type="http://schemas.openxmlformats.org/officeDocument/2006/relationships/ctrlProp" Target="../ctrlProps/ctrlProp53.xml"/><Relationship Id="rId47" Type="http://schemas.openxmlformats.org/officeDocument/2006/relationships/ctrlProp" Target="../ctrlProps/ctrlProp58.xml"/><Relationship Id="rId63" Type="http://schemas.openxmlformats.org/officeDocument/2006/relationships/ctrlProp" Target="../ctrlProps/ctrlProp74.xml"/><Relationship Id="rId68" Type="http://schemas.openxmlformats.org/officeDocument/2006/relationships/ctrlProp" Target="../ctrlProps/ctrlProp79.xml"/><Relationship Id="rId84" Type="http://schemas.openxmlformats.org/officeDocument/2006/relationships/ctrlProp" Target="../ctrlProps/ctrlProp95.xml"/><Relationship Id="rId89" Type="http://schemas.openxmlformats.org/officeDocument/2006/relationships/ctrlProp" Target="../ctrlProps/ctrlProp100.xml"/><Relationship Id="rId16" Type="http://schemas.openxmlformats.org/officeDocument/2006/relationships/ctrlProp" Target="../ctrlProps/ctrlProp27.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5" Type="http://schemas.openxmlformats.org/officeDocument/2006/relationships/ctrlProp" Target="../ctrlProps/ctrlProp16.xml"/><Relationship Id="rId90" Type="http://schemas.openxmlformats.org/officeDocument/2006/relationships/ctrlProp" Target="../ctrlProps/ctrlProp101.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64" Type="http://schemas.openxmlformats.org/officeDocument/2006/relationships/ctrlProp" Target="../ctrlProps/ctrlProp75.xml"/><Relationship Id="rId69" Type="http://schemas.openxmlformats.org/officeDocument/2006/relationships/ctrlProp" Target="../ctrlProps/ctrlProp80.xml"/><Relationship Id="rId77" Type="http://schemas.openxmlformats.org/officeDocument/2006/relationships/ctrlProp" Target="../ctrlProps/ctrlProp88.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80" Type="http://schemas.openxmlformats.org/officeDocument/2006/relationships/ctrlProp" Target="../ctrlProps/ctrlProp91.xml"/><Relationship Id="rId85" Type="http://schemas.openxmlformats.org/officeDocument/2006/relationships/ctrlProp" Target="../ctrlProps/ctrlProp96.xml"/><Relationship Id="rId3" Type="http://schemas.openxmlformats.org/officeDocument/2006/relationships/vmlDrawing" Target="../drawings/vmlDrawing2.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59" Type="http://schemas.openxmlformats.org/officeDocument/2006/relationships/ctrlProp" Target="../ctrlProps/ctrlProp70.xml"/><Relationship Id="rId67" Type="http://schemas.openxmlformats.org/officeDocument/2006/relationships/ctrlProp" Target="../ctrlProps/ctrlProp78.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62" Type="http://schemas.openxmlformats.org/officeDocument/2006/relationships/ctrlProp" Target="../ctrlProps/ctrlProp73.xml"/><Relationship Id="rId70" Type="http://schemas.openxmlformats.org/officeDocument/2006/relationships/ctrlProp" Target="../ctrlProps/ctrlProp81.xml"/><Relationship Id="rId75" Type="http://schemas.openxmlformats.org/officeDocument/2006/relationships/ctrlProp" Target="../ctrlProps/ctrlProp86.xml"/><Relationship Id="rId83" Type="http://schemas.openxmlformats.org/officeDocument/2006/relationships/ctrlProp" Target="../ctrlProps/ctrlProp94.xml"/><Relationship Id="rId88" Type="http://schemas.openxmlformats.org/officeDocument/2006/relationships/ctrlProp" Target="../ctrlProps/ctrlProp99.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10" Type="http://schemas.openxmlformats.org/officeDocument/2006/relationships/ctrlProp" Target="../ctrlProps/ctrlProp21.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 Id="rId60" Type="http://schemas.openxmlformats.org/officeDocument/2006/relationships/ctrlProp" Target="../ctrlProps/ctrlProp71.xml"/><Relationship Id="rId65" Type="http://schemas.openxmlformats.org/officeDocument/2006/relationships/ctrlProp" Target="../ctrlProps/ctrlProp76.xml"/><Relationship Id="rId73" Type="http://schemas.openxmlformats.org/officeDocument/2006/relationships/ctrlProp" Target="../ctrlProps/ctrlProp84.xml"/><Relationship Id="rId78" Type="http://schemas.openxmlformats.org/officeDocument/2006/relationships/ctrlProp" Target="../ctrlProps/ctrlProp89.xml"/><Relationship Id="rId81" Type="http://schemas.openxmlformats.org/officeDocument/2006/relationships/ctrlProp" Target="../ctrlProps/ctrlProp92.xml"/><Relationship Id="rId86" Type="http://schemas.openxmlformats.org/officeDocument/2006/relationships/ctrlProp" Target="../ctrlProps/ctrlProp97.xml"/><Relationship Id="rId4" Type="http://schemas.openxmlformats.org/officeDocument/2006/relationships/ctrlProp" Target="../ctrlProps/ctrlProp15.xml"/><Relationship Id="rId9" Type="http://schemas.openxmlformats.org/officeDocument/2006/relationships/ctrlProp" Target="../ctrlProps/ctrlProp20.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7" Type="http://schemas.openxmlformats.org/officeDocument/2006/relationships/ctrlProp" Target="../ctrlProps/ctrlProp18.xml"/><Relationship Id="rId71" Type="http://schemas.openxmlformats.org/officeDocument/2006/relationships/ctrlProp" Target="../ctrlProps/ctrlProp82.xml"/><Relationship Id="rId2" Type="http://schemas.openxmlformats.org/officeDocument/2006/relationships/drawing" Target="../drawings/drawing2.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21" Type="http://schemas.openxmlformats.org/officeDocument/2006/relationships/ctrlProp" Target="../ctrlProps/ctrlProp119.xml"/><Relationship Id="rId34" Type="http://schemas.openxmlformats.org/officeDocument/2006/relationships/ctrlProp" Target="../ctrlProps/ctrlProp132.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33" Type="http://schemas.openxmlformats.org/officeDocument/2006/relationships/ctrlProp" Target="../ctrlProps/ctrlProp131.xml"/><Relationship Id="rId38" Type="http://schemas.openxmlformats.org/officeDocument/2006/relationships/ctrlProp" Target="../ctrlProps/ctrlProp136.xml"/><Relationship Id="rId2" Type="http://schemas.openxmlformats.org/officeDocument/2006/relationships/drawing" Target="../drawings/drawing3.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1" Type="http://schemas.openxmlformats.org/officeDocument/2006/relationships/printerSettings" Target="../printerSettings/printerSettings4.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32" Type="http://schemas.openxmlformats.org/officeDocument/2006/relationships/ctrlProp" Target="../ctrlProps/ctrlProp130.xml"/><Relationship Id="rId37" Type="http://schemas.openxmlformats.org/officeDocument/2006/relationships/ctrlProp" Target="../ctrlProps/ctrlProp135.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36" Type="http://schemas.openxmlformats.org/officeDocument/2006/relationships/ctrlProp" Target="../ctrlProps/ctrlProp134.xml"/><Relationship Id="rId10" Type="http://schemas.openxmlformats.org/officeDocument/2006/relationships/ctrlProp" Target="../ctrlProps/ctrlProp108.xml"/><Relationship Id="rId19" Type="http://schemas.openxmlformats.org/officeDocument/2006/relationships/ctrlProp" Target="../ctrlProps/ctrlProp117.xml"/><Relationship Id="rId31" Type="http://schemas.openxmlformats.org/officeDocument/2006/relationships/ctrlProp" Target="../ctrlProps/ctrlProp129.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 Id="rId35" Type="http://schemas.openxmlformats.org/officeDocument/2006/relationships/ctrlProp" Target="../ctrlProps/ctrlProp133.xml"/><Relationship Id="rId8" Type="http://schemas.openxmlformats.org/officeDocument/2006/relationships/ctrlProp" Target="../ctrlProps/ctrlProp106.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6.xml"/><Relationship Id="rId18" Type="http://schemas.openxmlformats.org/officeDocument/2006/relationships/ctrlProp" Target="../ctrlProps/ctrlProp151.xml"/><Relationship Id="rId26" Type="http://schemas.openxmlformats.org/officeDocument/2006/relationships/ctrlProp" Target="../ctrlProps/ctrlProp159.xml"/><Relationship Id="rId21" Type="http://schemas.openxmlformats.org/officeDocument/2006/relationships/ctrlProp" Target="../ctrlProps/ctrlProp154.xml"/><Relationship Id="rId34" Type="http://schemas.openxmlformats.org/officeDocument/2006/relationships/ctrlProp" Target="../ctrlProps/ctrlProp167.xml"/><Relationship Id="rId7" Type="http://schemas.openxmlformats.org/officeDocument/2006/relationships/ctrlProp" Target="../ctrlProps/ctrlProp140.x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2" Type="http://schemas.openxmlformats.org/officeDocument/2006/relationships/drawing" Target="../drawings/drawing4.xml"/><Relationship Id="rId16" Type="http://schemas.openxmlformats.org/officeDocument/2006/relationships/ctrlProp" Target="../ctrlProps/ctrlProp149.xml"/><Relationship Id="rId20" Type="http://schemas.openxmlformats.org/officeDocument/2006/relationships/ctrlProp" Target="../ctrlProps/ctrlProp153.xml"/><Relationship Id="rId29" Type="http://schemas.openxmlformats.org/officeDocument/2006/relationships/ctrlProp" Target="../ctrlProps/ctrlProp162.xml"/><Relationship Id="rId1" Type="http://schemas.openxmlformats.org/officeDocument/2006/relationships/printerSettings" Target="../printerSettings/printerSettings5.bin"/><Relationship Id="rId6" Type="http://schemas.openxmlformats.org/officeDocument/2006/relationships/ctrlProp" Target="../ctrlProps/ctrlProp139.xml"/><Relationship Id="rId11" Type="http://schemas.openxmlformats.org/officeDocument/2006/relationships/ctrlProp" Target="../ctrlProps/ctrlProp144.xml"/><Relationship Id="rId24" Type="http://schemas.openxmlformats.org/officeDocument/2006/relationships/ctrlProp" Target="../ctrlProps/ctrlProp157.xml"/><Relationship Id="rId32" Type="http://schemas.openxmlformats.org/officeDocument/2006/relationships/ctrlProp" Target="../ctrlProps/ctrlProp165.xml"/><Relationship Id="rId37" Type="http://schemas.openxmlformats.org/officeDocument/2006/relationships/ctrlProp" Target="../ctrlProps/ctrlProp170.xml"/><Relationship Id="rId5" Type="http://schemas.openxmlformats.org/officeDocument/2006/relationships/ctrlProp" Target="../ctrlProps/ctrlProp138.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10" Type="http://schemas.openxmlformats.org/officeDocument/2006/relationships/ctrlProp" Target="../ctrlProps/ctrlProp143.xml"/><Relationship Id="rId19" Type="http://schemas.openxmlformats.org/officeDocument/2006/relationships/ctrlProp" Target="../ctrlProps/ctrlProp152.xml"/><Relationship Id="rId31" Type="http://schemas.openxmlformats.org/officeDocument/2006/relationships/ctrlProp" Target="../ctrlProps/ctrlProp164.xml"/><Relationship Id="rId4" Type="http://schemas.openxmlformats.org/officeDocument/2006/relationships/ctrlProp" Target="../ctrlProps/ctrlProp137.xml"/><Relationship Id="rId9" Type="http://schemas.openxmlformats.org/officeDocument/2006/relationships/ctrlProp" Target="../ctrlProps/ctrlProp14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8" Type="http://schemas.openxmlformats.org/officeDocument/2006/relationships/ctrlProp" Target="../ctrlProps/ctrlProp141.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81.xml"/><Relationship Id="rId18" Type="http://schemas.openxmlformats.org/officeDocument/2006/relationships/ctrlProp" Target="../ctrlProps/ctrlProp186.xml"/><Relationship Id="rId26" Type="http://schemas.openxmlformats.org/officeDocument/2006/relationships/ctrlProp" Target="../ctrlProps/ctrlProp194.xml"/><Relationship Id="rId21" Type="http://schemas.openxmlformats.org/officeDocument/2006/relationships/ctrlProp" Target="../ctrlProps/ctrlProp189.xml"/><Relationship Id="rId34" Type="http://schemas.openxmlformats.org/officeDocument/2006/relationships/ctrlProp" Target="../ctrlProps/ctrlProp202.xml"/><Relationship Id="rId7" Type="http://schemas.openxmlformats.org/officeDocument/2006/relationships/ctrlProp" Target="../ctrlProps/ctrlProp175.xml"/><Relationship Id="rId12" Type="http://schemas.openxmlformats.org/officeDocument/2006/relationships/ctrlProp" Target="../ctrlProps/ctrlProp180.xml"/><Relationship Id="rId17" Type="http://schemas.openxmlformats.org/officeDocument/2006/relationships/ctrlProp" Target="../ctrlProps/ctrlProp185.xml"/><Relationship Id="rId25" Type="http://schemas.openxmlformats.org/officeDocument/2006/relationships/ctrlProp" Target="../ctrlProps/ctrlProp193.xml"/><Relationship Id="rId33" Type="http://schemas.openxmlformats.org/officeDocument/2006/relationships/ctrlProp" Target="../ctrlProps/ctrlProp201.xml"/><Relationship Id="rId38"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84.xml"/><Relationship Id="rId20" Type="http://schemas.openxmlformats.org/officeDocument/2006/relationships/ctrlProp" Target="../ctrlProps/ctrlProp188.xml"/><Relationship Id="rId29" Type="http://schemas.openxmlformats.org/officeDocument/2006/relationships/ctrlProp" Target="../ctrlProps/ctrlProp197.xml"/><Relationship Id="rId1" Type="http://schemas.openxmlformats.org/officeDocument/2006/relationships/printerSettings" Target="../printerSettings/printerSettings6.bin"/><Relationship Id="rId6" Type="http://schemas.openxmlformats.org/officeDocument/2006/relationships/ctrlProp" Target="../ctrlProps/ctrlProp174.xml"/><Relationship Id="rId11" Type="http://schemas.openxmlformats.org/officeDocument/2006/relationships/ctrlProp" Target="../ctrlProps/ctrlProp179.xml"/><Relationship Id="rId24" Type="http://schemas.openxmlformats.org/officeDocument/2006/relationships/ctrlProp" Target="../ctrlProps/ctrlProp192.xml"/><Relationship Id="rId32" Type="http://schemas.openxmlformats.org/officeDocument/2006/relationships/ctrlProp" Target="../ctrlProps/ctrlProp200.xml"/><Relationship Id="rId37" Type="http://schemas.openxmlformats.org/officeDocument/2006/relationships/ctrlProp" Target="../ctrlProps/ctrlProp205.xml"/><Relationship Id="rId5" Type="http://schemas.openxmlformats.org/officeDocument/2006/relationships/ctrlProp" Target="../ctrlProps/ctrlProp173.xml"/><Relationship Id="rId15" Type="http://schemas.openxmlformats.org/officeDocument/2006/relationships/ctrlProp" Target="../ctrlProps/ctrlProp183.xml"/><Relationship Id="rId23" Type="http://schemas.openxmlformats.org/officeDocument/2006/relationships/ctrlProp" Target="../ctrlProps/ctrlProp191.xml"/><Relationship Id="rId28" Type="http://schemas.openxmlformats.org/officeDocument/2006/relationships/ctrlProp" Target="../ctrlProps/ctrlProp196.xml"/><Relationship Id="rId36" Type="http://schemas.openxmlformats.org/officeDocument/2006/relationships/ctrlProp" Target="../ctrlProps/ctrlProp204.xml"/><Relationship Id="rId10" Type="http://schemas.openxmlformats.org/officeDocument/2006/relationships/ctrlProp" Target="../ctrlProps/ctrlProp178.xml"/><Relationship Id="rId19" Type="http://schemas.openxmlformats.org/officeDocument/2006/relationships/ctrlProp" Target="../ctrlProps/ctrlProp187.xml"/><Relationship Id="rId31" Type="http://schemas.openxmlformats.org/officeDocument/2006/relationships/ctrlProp" Target="../ctrlProps/ctrlProp199.xml"/><Relationship Id="rId4" Type="http://schemas.openxmlformats.org/officeDocument/2006/relationships/ctrlProp" Target="../ctrlProps/ctrlProp172.xml"/><Relationship Id="rId9" Type="http://schemas.openxmlformats.org/officeDocument/2006/relationships/ctrlProp" Target="../ctrlProps/ctrlProp177.xml"/><Relationship Id="rId14" Type="http://schemas.openxmlformats.org/officeDocument/2006/relationships/ctrlProp" Target="../ctrlProps/ctrlProp182.xml"/><Relationship Id="rId22" Type="http://schemas.openxmlformats.org/officeDocument/2006/relationships/ctrlProp" Target="../ctrlProps/ctrlProp190.xml"/><Relationship Id="rId27" Type="http://schemas.openxmlformats.org/officeDocument/2006/relationships/ctrlProp" Target="../ctrlProps/ctrlProp195.xml"/><Relationship Id="rId30" Type="http://schemas.openxmlformats.org/officeDocument/2006/relationships/ctrlProp" Target="../ctrlProps/ctrlProp198.xml"/><Relationship Id="rId35" Type="http://schemas.openxmlformats.org/officeDocument/2006/relationships/ctrlProp" Target="../ctrlProps/ctrlProp203.xml"/><Relationship Id="rId8" Type="http://schemas.openxmlformats.org/officeDocument/2006/relationships/ctrlProp" Target="../ctrlProps/ctrlProp176.xml"/><Relationship Id="rId3"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6.xml"/><Relationship Id="rId18" Type="http://schemas.openxmlformats.org/officeDocument/2006/relationships/ctrlProp" Target="../ctrlProps/ctrlProp221.xml"/><Relationship Id="rId26" Type="http://schemas.openxmlformats.org/officeDocument/2006/relationships/ctrlProp" Target="../ctrlProps/ctrlProp229.xml"/><Relationship Id="rId21" Type="http://schemas.openxmlformats.org/officeDocument/2006/relationships/ctrlProp" Target="../ctrlProps/ctrlProp224.xml"/><Relationship Id="rId34" Type="http://schemas.openxmlformats.org/officeDocument/2006/relationships/ctrlProp" Target="../ctrlProps/ctrlProp237.xml"/><Relationship Id="rId7" Type="http://schemas.openxmlformats.org/officeDocument/2006/relationships/ctrlProp" Target="../ctrlProps/ctrlProp210.xml"/><Relationship Id="rId12" Type="http://schemas.openxmlformats.org/officeDocument/2006/relationships/ctrlProp" Target="../ctrlProps/ctrlProp215.xml"/><Relationship Id="rId17" Type="http://schemas.openxmlformats.org/officeDocument/2006/relationships/ctrlProp" Target="../ctrlProps/ctrlProp220.xml"/><Relationship Id="rId25" Type="http://schemas.openxmlformats.org/officeDocument/2006/relationships/ctrlProp" Target="../ctrlProps/ctrlProp228.xml"/><Relationship Id="rId33" Type="http://schemas.openxmlformats.org/officeDocument/2006/relationships/ctrlProp" Target="../ctrlProps/ctrlProp236.xml"/><Relationship Id="rId38" Type="http://schemas.openxmlformats.org/officeDocument/2006/relationships/ctrlProp" Target="../ctrlProps/ctrlProp241.xml"/><Relationship Id="rId2" Type="http://schemas.openxmlformats.org/officeDocument/2006/relationships/drawing" Target="../drawings/drawing6.xml"/><Relationship Id="rId16" Type="http://schemas.openxmlformats.org/officeDocument/2006/relationships/ctrlProp" Target="../ctrlProps/ctrlProp219.xml"/><Relationship Id="rId20" Type="http://schemas.openxmlformats.org/officeDocument/2006/relationships/ctrlProp" Target="../ctrlProps/ctrlProp223.xml"/><Relationship Id="rId29" Type="http://schemas.openxmlformats.org/officeDocument/2006/relationships/ctrlProp" Target="../ctrlProps/ctrlProp232.xml"/><Relationship Id="rId1" Type="http://schemas.openxmlformats.org/officeDocument/2006/relationships/printerSettings" Target="../printerSettings/printerSettings7.bin"/><Relationship Id="rId6" Type="http://schemas.openxmlformats.org/officeDocument/2006/relationships/ctrlProp" Target="../ctrlProps/ctrlProp209.xml"/><Relationship Id="rId11" Type="http://schemas.openxmlformats.org/officeDocument/2006/relationships/ctrlProp" Target="../ctrlProps/ctrlProp214.xml"/><Relationship Id="rId24" Type="http://schemas.openxmlformats.org/officeDocument/2006/relationships/ctrlProp" Target="../ctrlProps/ctrlProp227.xml"/><Relationship Id="rId32" Type="http://schemas.openxmlformats.org/officeDocument/2006/relationships/ctrlProp" Target="../ctrlProps/ctrlProp235.xml"/><Relationship Id="rId37" Type="http://schemas.openxmlformats.org/officeDocument/2006/relationships/ctrlProp" Target="../ctrlProps/ctrlProp240.xml"/><Relationship Id="rId5" Type="http://schemas.openxmlformats.org/officeDocument/2006/relationships/ctrlProp" Target="../ctrlProps/ctrlProp208.xml"/><Relationship Id="rId15" Type="http://schemas.openxmlformats.org/officeDocument/2006/relationships/ctrlProp" Target="../ctrlProps/ctrlProp218.xml"/><Relationship Id="rId23" Type="http://schemas.openxmlformats.org/officeDocument/2006/relationships/ctrlProp" Target="../ctrlProps/ctrlProp226.xml"/><Relationship Id="rId28" Type="http://schemas.openxmlformats.org/officeDocument/2006/relationships/ctrlProp" Target="../ctrlProps/ctrlProp231.xml"/><Relationship Id="rId36" Type="http://schemas.openxmlformats.org/officeDocument/2006/relationships/ctrlProp" Target="../ctrlProps/ctrlProp239.xml"/><Relationship Id="rId10" Type="http://schemas.openxmlformats.org/officeDocument/2006/relationships/ctrlProp" Target="../ctrlProps/ctrlProp213.xml"/><Relationship Id="rId19" Type="http://schemas.openxmlformats.org/officeDocument/2006/relationships/ctrlProp" Target="../ctrlProps/ctrlProp222.xml"/><Relationship Id="rId31" Type="http://schemas.openxmlformats.org/officeDocument/2006/relationships/ctrlProp" Target="../ctrlProps/ctrlProp234.xml"/><Relationship Id="rId4" Type="http://schemas.openxmlformats.org/officeDocument/2006/relationships/ctrlProp" Target="../ctrlProps/ctrlProp207.xml"/><Relationship Id="rId9" Type="http://schemas.openxmlformats.org/officeDocument/2006/relationships/ctrlProp" Target="../ctrlProps/ctrlProp212.xml"/><Relationship Id="rId14" Type="http://schemas.openxmlformats.org/officeDocument/2006/relationships/ctrlProp" Target="../ctrlProps/ctrlProp217.xml"/><Relationship Id="rId22" Type="http://schemas.openxmlformats.org/officeDocument/2006/relationships/ctrlProp" Target="../ctrlProps/ctrlProp225.xml"/><Relationship Id="rId27" Type="http://schemas.openxmlformats.org/officeDocument/2006/relationships/ctrlProp" Target="../ctrlProps/ctrlProp230.xml"/><Relationship Id="rId30" Type="http://schemas.openxmlformats.org/officeDocument/2006/relationships/ctrlProp" Target="../ctrlProps/ctrlProp233.xml"/><Relationship Id="rId35" Type="http://schemas.openxmlformats.org/officeDocument/2006/relationships/ctrlProp" Target="../ctrlProps/ctrlProp238.xml"/><Relationship Id="rId8" Type="http://schemas.openxmlformats.org/officeDocument/2006/relationships/ctrlProp" Target="../ctrlProps/ctrlProp211.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51.xml"/><Relationship Id="rId18" Type="http://schemas.openxmlformats.org/officeDocument/2006/relationships/ctrlProp" Target="../ctrlProps/ctrlProp256.xml"/><Relationship Id="rId26" Type="http://schemas.openxmlformats.org/officeDocument/2006/relationships/ctrlProp" Target="../ctrlProps/ctrlProp264.xml"/><Relationship Id="rId21" Type="http://schemas.openxmlformats.org/officeDocument/2006/relationships/ctrlProp" Target="../ctrlProps/ctrlProp259.xml"/><Relationship Id="rId34" Type="http://schemas.openxmlformats.org/officeDocument/2006/relationships/ctrlProp" Target="../ctrlProps/ctrlProp272.xml"/><Relationship Id="rId7" Type="http://schemas.openxmlformats.org/officeDocument/2006/relationships/ctrlProp" Target="../ctrlProps/ctrlProp245.xml"/><Relationship Id="rId12" Type="http://schemas.openxmlformats.org/officeDocument/2006/relationships/ctrlProp" Target="../ctrlProps/ctrlProp250.xml"/><Relationship Id="rId17" Type="http://schemas.openxmlformats.org/officeDocument/2006/relationships/ctrlProp" Target="../ctrlProps/ctrlProp255.xml"/><Relationship Id="rId25" Type="http://schemas.openxmlformats.org/officeDocument/2006/relationships/ctrlProp" Target="../ctrlProps/ctrlProp263.xml"/><Relationship Id="rId33" Type="http://schemas.openxmlformats.org/officeDocument/2006/relationships/ctrlProp" Target="../ctrlProps/ctrlProp271.xml"/><Relationship Id="rId38" Type="http://schemas.openxmlformats.org/officeDocument/2006/relationships/ctrlProp" Target="../ctrlProps/ctrlProp276.xml"/><Relationship Id="rId2" Type="http://schemas.openxmlformats.org/officeDocument/2006/relationships/drawing" Target="../drawings/drawing7.xml"/><Relationship Id="rId16" Type="http://schemas.openxmlformats.org/officeDocument/2006/relationships/ctrlProp" Target="../ctrlProps/ctrlProp254.xml"/><Relationship Id="rId20" Type="http://schemas.openxmlformats.org/officeDocument/2006/relationships/ctrlProp" Target="../ctrlProps/ctrlProp258.xml"/><Relationship Id="rId29" Type="http://schemas.openxmlformats.org/officeDocument/2006/relationships/ctrlProp" Target="../ctrlProps/ctrlProp267.xml"/><Relationship Id="rId1" Type="http://schemas.openxmlformats.org/officeDocument/2006/relationships/printerSettings" Target="../printerSettings/printerSettings8.bin"/><Relationship Id="rId6" Type="http://schemas.openxmlformats.org/officeDocument/2006/relationships/ctrlProp" Target="../ctrlProps/ctrlProp244.xml"/><Relationship Id="rId11" Type="http://schemas.openxmlformats.org/officeDocument/2006/relationships/ctrlProp" Target="../ctrlProps/ctrlProp249.xml"/><Relationship Id="rId24" Type="http://schemas.openxmlformats.org/officeDocument/2006/relationships/ctrlProp" Target="../ctrlProps/ctrlProp262.xml"/><Relationship Id="rId32" Type="http://schemas.openxmlformats.org/officeDocument/2006/relationships/ctrlProp" Target="../ctrlProps/ctrlProp270.xml"/><Relationship Id="rId37" Type="http://schemas.openxmlformats.org/officeDocument/2006/relationships/ctrlProp" Target="../ctrlProps/ctrlProp275.xml"/><Relationship Id="rId5" Type="http://schemas.openxmlformats.org/officeDocument/2006/relationships/ctrlProp" Target="../ctrlProps/ctrlProp243.xml"/><Relationship Id="rId15" Type="http://schemas.openxmlformats.org/officeDocument/2006/relationships/ctrlProp" Target="../ctrlProps/ctrlProp253.xml"/><Relationship Id="rId23" Type="http://schemas.openxmlformats.org/officeDocument/2006/relationships/ctrlProp" Target="../ctrlProps/ctrlProp261.xml"/><Relationship Id="rId28" Type="http://schemas.openxmlformats.org/officeDocument/2006/relationships/ctrlProp" Target="../ctrlProps/ctrlProp266.xml"/><Relationship Id="rId36" Type="http://schemas.openxmlformats.org/officeDocument/2006/relationships/ctrlProp" Target="../ctrlProps/ctrlProp274.xml"/><Relationship Id="rId10" Type="http://schemas.openxmlformats.org/officeDocument/2006/relationships/ctrlProp" Target="../ctrlProps/ctrlProp248.xml"/><Relationship Id="rId19" Type="http://schemas.openxmlformats.org/officeDocument/2006/relationships/ctrlProp" Target="../ctrlProps/ctrlProp257.xml"/><Relationship Id="rId31" Type="http://schemas.openxmlformats.org/officeDocument/2006/relationships/ctrlProp" Target="../ctrlProps/ctrlProp269.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 Id="rId22" Type="http://schemas.openxmlformats.org/officeDocument/2006/relationships/ctrlProp" Target="../ctrlProps/ctrlProp260.xml"/><Relationship Id="rId27" Type="http://schemas.openxmlformats.org/officeDocument/2006/relationships/ctrlProp" Target="../ctrlProps/ctrlProp265.xml"/><Relationship Id="rId30" Type="http://schemas.openxmlformats.org/officeDocument/2006/relationships/ctrlProp" Target="../ctrlProps/ctrlProp268.xml"/><Relationship Id="rId35" Type="http://schemas.openxmlformats.org/officeDocument/2006/relationships/ctrlProp" Target="../ctrlProps/ctrlProp273.xml"/><Relationship Id="rId8" Type="http://schemas.openxmlformats.org/officeDocument/2006/relationships/ctrlProp" Target="../ctrlProps/ctrlProp246.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00B050"/>
    <pageSetUpPr fitToPage="1"/>
  </sheetPr>
  <dimension ref="B1:K109"/>
  <sheetViews>
    <sheetView showGridLines="0" zoomScaleNormal="100" workbookViewId="0">
      <selection activeCell="B1" sqref="B1:K3"/>
    </sheetView>
  </sheetViews>
  <sheetFormatPr defaultColWidth="9.28515625" defaultRowHeight="12.75" x14ac:dyDescent="0.2"/>
  <cols>
    <col min="1" max="1" width="2.7109375" style="106" customWidth="1"/>
    <col min="2" max="16384" width="9.28515625" style="106"/>
  </cols>
  <sheetData>
    <row r="1" spans="2:11" ht="18" customHeight="1" x14ac:dyDescent="0.2">
      <c r="B1" s="378" t="s">
        <v>291</v>
      </c>
      <c r="C1" s="378"/>
      <c r="D1" s="378"/>
      <c r="E1" s="378"/>
      <c r="F1" s="378"/>
      <c r="G1" s="378"/>
      <c r="H1" s="378"/>
      <c r="I1" s="378"/>
      <c r="J1" s="378"/>
      <c r="K1" s="378"/>
    </row>
    <row r="2" spans="2:11" ht="18" customHeight="1" x14ac:dyDescent="0.2">
      <c r="B2" s="378"/>
      <c r="C2" s="378"/>
      <c r="D2" s="378"/>
      <c r="E2" s="378"/>
      <c r="F2" s="378"/>
      <c r="G2" s="378"/>
      <c r="H2" s="378"/>
      <c r="I2" s="378"/>
      <c r="J2" s="378"/>
      <c r="K2" s="378"/>
    </row>
    <row r="3" spans="2:11" ht="18" customHeight="1" x14ac:dyDescent="0.2">
      <c r="B3" s="378"/>
      <c r="C3" s="378"/>
      <c r="D3" s="378"/>
      <c r="E3" s="378"/>
      <c r="F3" s="378"/>
      <c r="G3" s="378"/>
      <c r="H3" s="378"/>
      <c r="I3" s="378"/>
      <c r="J3" s="378"/>
      <c r="K3" s="378"/>
    </row>
    <row r="4" spans="2:11" x14ac:dyDescent="0.2">
      <c r="B4" s="379" t="s">
        <v>479</v>
      </c>
      <c r="C4" s="379"/>
      <c r="D4" s="379"/>
      <c r="E4" s="379"/>
      <c r="F4" s="379"/>
      <c r="G4" s="379"/>
      <c r="H4" s="379"/>
      <c r="I4" s="379"/>
      <c r="J4" s="379"/>
      <c r="K4" s="379"/>
    </row>
    <row r="5" spans="2:11" x14ac:dyDescent="0.2">
      <c r="B5" s="379"/>
      <c r="C5" s="379"/>
      <c r="D5" s="379"/>
      <c r="E5" s="379"/>
      <c r="F5" s="379"/>
      <c r="G5" s="379"/>
      <c r="H5" s="379"/>
      <c r="I5" s="379"/>
      <c r="J5" s="379"/>
      <c r="K5" s="379"/>
    </row>
    <row r="6" spans="2:11" x14ac:dyDescent="0.2">
      <c r="B6" s="379"/>
      <c r="C6" s="379"/>
      <c r="D6" s="379"/>
      <c r="E6" s="379"/>
      <c r="F6" s="379"/>
      <c r="G6" s="379"/>
      <c r="H6" s="379"/>
      <c r="I6" s="379"/>
      <c r="J6" s="379"/>
      <c r="K6" s="379"/>
    </row>
    <row r="7" spans="2:11" x14ac:dyDescent="0.2">
      <c r="B7" s="379"/>
      <c r="C7" s="379"/>
      <c r="D7" s="379"/>
      <c r="E7" s="379"/>
      <c r="F7" s="379"/>
      <c r="G7" s="379"/>
      <c r="H7" s="379"/>
      <c r="I7" s="379"/>
      <c r="J7" s="379"/>
      <c r="K7" s="379"/>
    </row>
    <row r="8" spans="2:11" x14ac:dyDescent="0.2">
      <c r="B8" s="379"/>
      <c r="C8" s="379"/>
      <c r="D8" s="379"/>
      <c r="E8" s="379"/>
      <c r="F8" s="379"/>
      <c r="G8" s="379"/>
      <c r="H8" s="379"/>
      <c r="I8" s="379"/>
      <c r="J8" s="379"/>
      <c r="K8" s="379"/>
    </row>
    <row r="9" spans="2:11" x14ac:dyDescent="0.2">
      <c r="B9" s="379"/>
      <c r="C9" s="379"/>
      <c r="D9" s="379"/>
      <c r="E9" s="379"/>
      <c r="F9" s="379"/>
      <c r="G9" s="379"/>
      <c r="H9" s="379"/>
      <c r="I9" s="379"/>
      <c r="J9" s="379"/>
      <c r="K9" s="379"/>
    </row>
    <row r="10" spans="2:11" x14ac:dyDescent="0.2">
      <c r="B10" s="379"/>
      <c r="C10" s="379"/>
      <c r="D10" s="379"/>
      <c r="E10" s="379"/>
      <c r="F10" s="379"/>
      <c r="G10" s="379"/>
      <c r="H10" s="379"/>
      <c r="I10" s="379"/>
      <c r="J10" s="379"/>
      <c r="K10" s="379"/>
    </row>
    <row r="11" spans="2:11" x14ac:dyDescent="0.2">
      <c r="B11" s="379"/>
      <c r="C11" s="379"/>
      <c r="D11" s="379"/>
      <c r="E11" s="379"/>
      <c r="F11" s="379"/>
      <c r="G11" s="379"/>
      <c r="H11" s="379"/>
      <c r="I11" s="379"/>
      <c r="J11" s="379"/>
      <c r="K11" s="379"/>
    </row>
    <row r="12" spans="2:11" x14ac:dyDescent="0.2">
      <c r="B12" s="379"/>
      <c r="C12" s="379"/>
      <c r="D12" s="379"/>
      <c r="E12" s="379"/>
      <c r="F12" s="379"/>
      <c r="G12" s="379"/>
      <c r="H12" s="379"/>
      <c r="I12" s="379"/>
      <c r="J12" s="379"/>
      <c r="K12" s="379"/>
    </row>
    <row r="13" spans="2:11" x14ac:dyDescent="0.2">
      <c r="B13" s="379"/>
      <c r="C13" s="379"/>
      <c r="D13" s="379"/>
      <c r="E13" s="379"/>
      <c r="F13" s="379"/>
      <c r="G13" s="379"/>
      <c r="H13" s="379"/>
      <c r="I13" s="379"/>
      <c r="J13" s="379"/>
      <c r="K13" s="379"/>
    </row>
    <row r="14" spans="2:11" ht="26.25" customHeight="1" x14ac:dyDescent="0.2">
      <c r="B14" s="379" t="s">
        <v>480</v>
      </c>
      <c r="C14" s="379"/>
      <c r="D14" s="379"/>
      <c r="E14" s="379"/>
      <c r="F14" s="379"/>
      <c r="G14" s="379"/>
      <c r="H14" s="379"/>
      <c r="I14" s="379"/>
      <c r="J14" s="379"/>
      <c r="K14" s="379"/>
    </row>
    <row r="15" spans="2:11" x14ac:dyDescent="0.2">
      <c r="B15" s="376" t="s">
        <v>481</v>
      </c>
      <c r="C15" s="376"/>
      <c r="D15" s="376"/>
      <c r="E15" s="376"/>
      <c r="F15" s="376"/>
      <c r="G15" s="376"/>
      <c r="H15" s="376"/>
      <c r="I15" s="376"/>
      <c r="J15" s="376"/>
      <c r="K15" s="376"/>
    </row>
    <row r="16" spans="2:11" x14ac:dyDescent="0.2">
      <c r="B16" s="376"/>
      <c r="C16" s="376"/>
      <c r="D16" s="376"/>
      <c r="E16" s="376"/>
      <c r="F16" s="376"/>
      <c r="G16" s="376"/>
      <c r="H16" s="376"/>
      <c r="I16" s="376"/>
      <c r="J16" s="376"/>
      <c r="K16" s="376"/>
    </row>
    <row r="17" spans="2:11" x14ac:dyDescent="0.2">
      <c r="B17" s="376"/>
      <c r="C17" s="376"/>
      <c r="D17" s="376"/>
      <c r="E17" s="376"/>
      <c r="F17" s="376"/>
      <c r="G17" s="376"/>
      <c r="H17" s="376"/>
      <c r="I17" s="376"/>
      <c r="J17" s="376"/>
      <c r="K17" s="376"/>
    </row>
    <row r="18" spans="2:11" x14ac:dyDescent="0.2">
      <c r="B18" s="376"/>
      <c r="C18" s="376"/>
      <c r="D18" s="376"/>
      <c r="E18" s="376"/>
      <c r="F18" s="376"/>
      <c r="G18" s="376"/>
      <c r="H18" s="376"/>
      <c r="I18" s="376"/>
      <c r="J18" s="376"/>
      <c r="K18" s="376"/>
    </row>
    <row r="19" spans="2:11" x14ac:dyDescent="0.2">
      <c r="B19" s="376"/>
      <c r="C19" s="376"/>
      <c r="D19" s="376"/>
      <c r="E19" s="376"/>
      <c r="F19" s="376"/>
      <c r="G19" s="376"/>
      <c r="H19" s="376"/>
      <c r="I19" s="376"/>
      <c r="J19" s="376"/>
      <c r="K19" s="376"/>
    </row>
    <row r="20" spans="2:11" x14ac:dyDescent="0.2">
      <c r="B20" s="376"/>
      <c r="C20" s="376"/>
      <c r="D20" s="376"/>
      <c r="E20" s="376"/>
      <c r="F20" s="376"/>
      <c r="G20" s="376"/>
      <c r="H20" s="376"/>
      <c r="I20" s="376"/>
      <c r="J20" s="376"/>
      <c r="K20" s="376"/>
    </row>
    <row r="21" spans="2:11" x14ac:dyDescent="0.2">
      <c r="B21" s="376"/>
      <c r="C21" s="376"/>
      <c r="D21" s="376"/>
      <c r="E21" s="376"/>
      <c r="F21" s="376"/>
      <c r="G21" s="376"/>
      <c r="H21" s="376"/>
      <c r="I21" s="376"/>
      <c r="J21" s="376"/>
      <c r="K21" s="376"/>
    </row>
    <row r="22" spans="2:11" x14ac:dyDescent="0.2">
      <c r="B22" s="376"/>
      <c r="C22" s="376"/>
      <c r="D22" s="376"/>
      <c r="E22" s="376"/>
      <c r="F22" s="376"/>
      <c r="G22" s="376"/>
      <c r="H22" s="376"/>
      <c r="I22" s="376"/>
      <c r="J22" s="376"/>
      <c r="K22" s="376"/>
    </row>
    <row r="23" spans="2:11" x14ac:dyDescent="0.2">
      <c r="B23" s="376"/>
      <c r="C23" s="376"/>
      <c r="D23" s="376"/>
      <c r="E23" s="376"/>
      <c r="F23" s="376"/>
      <c r="G23" s="376"/>
      <c r="H23" s="376"/>
      <c r="I23" s="376"/>
      <c r="J23" s="376"/>
      <c r="K23" s="376"/>
    </row>
    <row r="24" spans="2:11" x14ac:dyDescent="0.2">
      <c r="B24" s="376"/>
      <c r="C24" s="376"/>
      <c r="D24" s="376"/>
      <c r="E24" s="376"/>
      <c r="F24" s="376"/>
      <c r="G24" s="376"/>
      <c r="H24" s="376"/>
      <c r="I24" s="376"/>
      <c r="J24" s="376"/>
      <c r="K24" s="376"/>
    </row>
    <row r="25" spans="2:11" x14ac:dyDescent="0.2">
      <c r="B25" s="376"/>
      <c r="C25" s="376"/>
      <c r="D25" s="376"/>
      <c r="E25" s="376"/>
      <c r="F25" s="376"/>
      <c r="G25" s="376"/>
      <c r="H25" s="376"/>
      <c r="I25" s="376"/>
      <c r="J25" s="376"/>
      <c r="K25" s="376"/>
    </row>
    <row r="26" spans="2:11" x14ac:dyDescent="0.2">
      <c r="B26" s="376"/>
      <c r="C26" s="376"/>
      <c r="D26" s="376"/>
      <c r="E26" s="376"/>
      <c r="F26" s="376"/>
      <c r="G26" s="376"/>
      <c r="H26" s="376"/>
      <c r="I26" s="376"/>
      <c r="J26" s="376"/>
      <c r="K26" s="376"/>
    </row>
    <row r="27" spans="2:11" x14ac:dyDescent="0.2">
      <c r="B27" s="376"/>
      <c r="C27" s="376"/>
      <c r="D27" s="376"/>
      <c r="E27" s="376"/>
      <c r="F27" s="376"/>
      <c r="G27" s="376"/>
      <c r="H27" s="376"/>
      <c r="I27" s="376"/>
      <c r="J27" s="376"/>
      <c r="K27" s="376"/>
    </row>
    <row r="28" spans="2:11" x14ac:dyDescent="0.2">
      <c r="B28" s="376"/>
      <c r="C28" s="376"/>
      <c r="D28" s="376"/>
      <c r="E28" s="376"/>
      <c r="F28" s="376"/>
      <c r="G28" s="376"/>
      <c r="H28" s="376"/>
      <c r="I28" s="376"/>
      <c r="J28" s="376"/>
      <c r="K28" s="376"/>
    </row>
    <row r="29" spans="2:11" x14ac:dyDescent="0.2">
      <c r="B29" s="376"/>
      <c r="C29" s="376"/>
      <c r="D29" s="376"/>
      <c r="E29" s="376"/>
      <c r="F29" s="376"/>
      <c r="G29" s="376"/>
      <c r="H29" s="376"/>
      <c r="I29" s="376"/>
      <c r="J29" s="376"/>
      <c r="K29" s="376"/>
    </row>
    <row r="30" spans="2:11" x14ac:dyDescent="0.2">
      <c r="B30" s="376"/>
      <c r="C30" s="376"/>
      <c r="D30" s="376"/>
      <c r="E30" s="376"/>
      <c r="F30" s="376"/>
      <c r="G30" s="376"/>
      <c r="H30" s="376"/>
      <c r="I30" s="376"/>
      <c r="J30" s="376"/>
      <c r="K30" s="376"/>
    </row>
    <row r="31" spans="2:11" x14ac:dyDescent="0.2">
      <c r="B31" s="376"/>
      <c r="C31" s="376"/>
      <c r="D31" s="376"/>
      <c r="E31" s="376"/>
      <c r="F31" s="376"/>
      <c r="G31" s="376"/>
      <c r="H31" s="376"/>
      <c r="I31" s="376"/>
      <c r="J31" s="376"/>
      <c r="K31" s="376"/>
    </row>
    <row r="32" spans="2:11" x14ac:dyDescent="0.2">
      <c r="B32" s="376"/>
      <c r="C32" s="376"/>
      <c r="D32" s="376"/>
      <c r="E32" s="376"/>
      <c r="F32" s="376"/>
      <c r="G32" s="376"/>
      <c r="H32" s="376"/>
      <c r="I32" s="376"/>
      <c r="J32" s="376"/>
      <c r="K32" s="376"/>
    </row>
    <row r="33" spans="2:11" x14ac:dyDescent="0.2">
      <c r="B33" s="376"/>
      <c r="C33" s="376"/>
      <c r="D33" s="376"/>
      <c r="E33" s="376"/>
      <c r="F33" s="376"/>
      <c r="G33" s="376"/>
      <c r="H33" s="376"/>
      <c r="I33" s="376"/>
      <c r="J33" s="376"/>
      <c r="K33" s="376"/>
    </row>
    <row r="34" spans="2:11" x14ac:dyDescent="0.2">
      <c r="B34" s="376"/>
      <c r="C34" s="376"/>
      <c r="D34" s="376"/>
      <c r="E34" s="376"/>
      <c r="F34" s="376"/>
      <c r="G34" s="376"/>
      <c r="H34" s="376"/>
      <c r="I34" s="376"/>
      <c r="J34" s="376"/>
      <c r="K34" s="376"/>
    </row>
    <row r="35" spans="2:11" x14ac:dyDescent="0.2">
      <c r="B35" s="376"/>
      <c r="C35" s="376"/>
      <c r="D35" s="376"/>
      <c r="E35" s="376"/>
      <c r="F35" s="376"/>
      <c r="G35" s="376"/>
      <c r="H35" s="376"/>
      <c r="I35" s="376"/>
      <c r="J35" s="376"/>
      <c r="K35" s="376"/>
    </row>
    <row r="36" spans="2:11" x14ac:dyDescent="0.2">
      <c r="B36" s="376"/>
      <c r="C36" s="376"/>
      <c r="D36" s="376"/>
      <c r="E36" s="376"/>
      <c r="F36" s="376"/>
      <c r="G36" s="376"/>
      <c r="H36" s="376"/>
      <c r="I36" s="376"/>
      <c r="J36" s="376"/>
      <c r="K36" s="376"/>
    </row>
    <row r="37" spans="2:11" x14ac:dyDescent="0.2">
      <c r="B37" s="376"/>
      <c r="C37" s="376"/>
      <c r="D37" s="376"/>
      <c r="E37" s="376"/>
      <c r="F37" s="376"/>
      <c r="G37" s="376"/>
      <c r="H37" s="376"/>
      <c r="I37" s="376"/>
      <c r="J37" s="376"/>
      <c r="K37" s="376"/>
    </row>
    <row r="38" spans="2:11" x14ac:dyDescent="0.2">
      <c r="B38" s="376"/>
      <c r="C38" s="376"/>
      <c r="D38" s="376"/>
      <c r="E38" s="376"/>
      <c r="F38" s="376"/>
      <c r="G38" s="376"/>
      <c r="H38" s="376"/>
      <c r="I38" s="376"/>
      <c r="J38" s="376"/>
      <c r="K38" s="376"/>
    </row>
    <row r="39" spans="2:11" x14ac:dyDescent="0.2">
      <c r="B39" s="376"/>
      <c r="C39" s="376"/>
      <c r="D39" s="376"/>
      <c r="E39" s="376"/>
      <c r="F39" s="376"/>
      <c r="G39" s="376"/>
      <c r="H39" s="376"/>
      <c r="I39" s="376"/>
      <c r="J39" s="376"/>
      <c r="K39" s="376"/>
    </row>
    <row r="40" spans="2:11" x14ac:dyDescent="0.2">
      <c r="B40" s="376"/>
      <c r="C40" s="376"/>
      <c r="D40" s="376"/>
      <c r="E40" s="376"/>
      <c r="F40" s="376"/>
      <c r="G40" s="376"/>
      <c r="H40" s="376"/>
      <c r="I40" s="376"/>
      <c r="J40" s="376"/>
      <c r="K40" s="376"/>
    </row>
    <row r="41" spans="2:11" x14ac:dyDescent="0.2">
      <c r="B41" s="376"/>
      <c r="C41" s="376"/>
      <c r="D41" s="376"/>
      <c r="E41" s="376"/>
      <c r="F41" s="376"/>
      <c r="G41" s="376"/>
      <c r="H41" s="376"/>
      <c r="I41" s="376"/>
      <c r="J41" s="376"/>
      <c r="K41" s="376"/>
    </row>
    <row r="42" spans="2:11" x14ac:dyDescent="0.2">
      <c r="B42" s="376"/>
      <c r="C42" s="376"/>
      <c r="D42" s="376"/>
      <c r="E42" s="376"/>
      <c r="F42" s="376"/>
      <c r="G42" s="376"/>
      <c r="H42" s="376"/>
      <c r="I42" s="376"/>
      <c r="J42" s="376"/>
      <c r="K42" s="376"/>
    </row>
    <row r="43" spans="2:11" x14ac:dyDescent="0.2">
      <c r="B43" s="376"/>
      <c r="C43" s="376"/>
      <c r="D43" s="376"/>
      <c r="E43" s="376"/>
      <c r="F43" s="376"/>
      <c r="G43" s="376"/>
      <c r="H43" s="376"/>
      <c r="I43" s="376"/>
      <c r="J43" s="376"/>
      <c r="K43" s="376"/>
    </row>
    <row r="44" spans="2:11" x14ac:dyDescent="0.2">
      <c r="B44" s="376"/>
      <c r="C44" s="376"/>
      <c r="D44" s="376"/>
      <c r="E44" s="376"/>
      <c r="F44" s="376"/>
      <c r="G44" s="376"/>
      <c r="H44" s="376"/>
      <c r="I44" s="376"/>
      <c r="J44" s="376"/>
      <c r="K44" s="376"/>
    </row>
    <row r="45" spans="2:11" x14ac:dyDescent="0.2">
      <c r="B45" s="376"/>
      <c r="C45" s="376"/>
      <c r="D45" s="376"/>
      <c r="E45" s="376"/>
      <c r="F45" s="376"/>
      <c r="G45" s="376"/>
      <c r="H45" s="376"/>
      <c r="I45" s="376"/>
      <c r="J45" s="376"/>
      <c r="K45" s="376"/>
    </row>
    <row r="46" spans="2:11" x14ac:dyDescent="0.2">
      <c r="B46" s="376"/>
      <c r="C46" s="376"/>
      <c r="D46" s="376"/>
      <c r="E46" s="376"/>
      <c r="F46" s="376"/>
      <c r="G46" s="376"/>
      <c r="H46" s="376"/>
      <c r="I46" s="376"/>
      <c r="J46" s="376"/>
      <c r="K46" s="376"/>
    </row>
    <row r="47" spans="2:11" x14ac:dyDescent="0.2">
      <c r="B47" s="376"/>
      <c r="C47" s="376"/>
      <c r="D47" s="376"/>
      <c r="E47" s="376"/>
      <c r="F47" s="376"/>
      <c r="G47" s="376"/>
      <c r="H47" s="376"/>
      <c r="I47" s="376"/>
      <c r="J47" s="376"/>
      <c r="K47" s="376"/>
    </row>
    <row r="48" spans="2:11" x14ac:dyDescent="0.2">
      <c r="B48" s="376"/>
      <c r="C48" s="376"/>
      <c r="D48" s="376"/>
      <c r="E48" s="376"/>
      <c r="F48" s="376"/>
      <c r="G48" s="376"/>
      <c r="H48" s="376"/>
      <c r="I48" s="376"/>
      <c r="J48" s="376"/>
      <c r="K48" s="376"/>
    </row>
    <row r="49" spans="2:11" x14ac:dyDescent="0.2">
      <c r="B49" s="376"/>
      <c r="C49" s="376"/>
      <c r="D49" s="376"/>
      <c r="E49" s="376"/>
      <c r="F49" s="376"/>
      <c r="G49" s="376"/>
      <c r="H49" s="376"/>
      <c r="I49" s="376"/>
      <c r="J49" s="376"/>
      <c r="K49" s="376"/>
    </row>
    <row r="50" spans="2:11" x14ac:dyDescent="0.2">
      <c r="B50" s="376"/>
      <c r="C50" s="376"/>
      <c r="D50" s="376"/>
      <c r="E50" s="376"/>
      <c r="F50" s="376"/>
      <c r="G50" s="376"/>
      <c r="H50" s="376"/>
      <c r="I50" s="376"/>
      <c r="J50" s="376"/>
      <c r="K50" s="376"/>
    </row>
    <row r="51" spans="2:11" x14ac:dyDescent="0.2">
      <c r="B51" s="376"/>
      <c r="C51" s="376"/>
      <c r="D51" s="376"/>
      <c r="E51" s="376"/>
      <c r="F51" s="376"/>
      <c r="G51" s="376"/>
      <c r="H51" s="376"/>
      <c r="I51" s="376"/>
      <c r="J51" s="376"/>
      <c r="K51" s="376"/>
    </row>
    <row r="52" spans="2:11" x14ac:dyDescent="0.2">
      <c r="B52" s="376"/>
      <c r="C52" s="376"/>
      <c r="D52" s="376"/>
      <c r="E52" s="376"/>
      <c r="F52" s="376"/>
      <c r="G52" s="376"/>
      <c r="H52" s="376"/>
      <c r="I52" s="376"/>
      <c r="J52" s="376"/>
      <c r="K52" s="376"/>
    </row>
    <row r="53" spans="2:11" x14ac:dyDescent="0.2">
      <c r="B53" s="376"/>
      <c r="C53" s="376"/>
      <c r="D53" s="376"/>
      <c r="E53" s="376"/>
      <c r="F53" s="376"/>
      <c r="G53" s="376"/>
      <c r="H53" s="376"/>
      <c r="I53" s="376"/>
      <c r="J53" s="376"/>
      <c r="K53" s="376"/>
    </row>
    <row r="54" spans="2:11" x14ac:dyDescent="0.2">
      <c r="B54" s="376"/>
      <c r="C54" s="376"/>
      <c r="D54" s="376"/>
      <c r="E54" s="376"/>
      <c r="F54" s="376"/>
      <c r="G54" s="376"/>
      <c r="H54" s="376"/>
      <c r="I54" s="376"/>
      <c r="J54" s="376"/>
      <c r="K54" s="376"/>
    </row>
    <row r="55" spans="2:11" x14ac:dyDescent="0.2">
      <c r="B55" s="376"/>
      <c r="C55" s="376"/>
      <c r="D55" s="376"/>
      <c r="E55" s="376"/>
      <c r="F55" s="376"/>
      <c r="G55" s="376"/>
      <c r="H55" s="376"/>
      <c r="I55" s="376"/>
      <c r="J55" s="376"/>
      <c r="K55" s="376"/>
    </row>
    <row r="56" spans="2:11" x14ac:dyDescent="0.2">
      <c r="B56" s="376"/>
      <c r="C56" s="376"/>
      <c r="D56" s="376"/>
      <c r="E56" s="376"/>
      <c r="F56" s="376"/>
      <c r="G56" s="376"/>
      <c r="H56" s="376"/>
      <c r="I56" s="376"/>
      <c r="J56" s="376"/>
      <c r="K56" s="376"/>
    </row>
    <row r="57" spans="2:11" x14ac:dyDescent="0.2">
      <c r="B57" s="376"/>
      <c r="C57" s="376"/>
      <c r="D57" s="376"/>
      <c r="E57" s="376"/>
      <c r="F57" s="376"/>
      <c r="G57" s="376"/>
      <c r="H57" s="376"/>
      <c r="I57" s="376"/>
      <c r="J57" s="376"/>
      <c r="K57" s="376"/>
    </row>
    <row r="58" spans="2:11" x14ac:dyDescent="0.2">
      <c r="B58" s="376"/>
      <c r="C58" s="376"/>
      <c r="D58" s="376"/>
      <c r="E58" s="376"/>
      <c r="F58" s="376"/>
      <c r="G58" s="376"/>
      <c r="H58" s="376"/>
      <c r="I58" s="376"/>
      <c r="J58" s="376"/>
      <c r="K58" s="376"/>
    </row>
    <row r="59" spans="2:11" x14ac:dyDescent="0.2">
      <c r="B59" s="376"/>
      <c r="C59" s="376"/>
      <c r="D59" s="376"/>
      <c r="E59" s="376"/>
      <c r="F59" s="376"/>
      <c r="G59" s="376"/>
      <c r="H59" s="376"/>
      <c r="I59" s="376"/>
      <c r="J59" s="376"/>
      <c r="K59" s="376"/>
    </row>
    <row r="60" spans="2:11" x14ac:dyDescent="0.2">
      <c r="B60" s="376"/>
      <c r="C60" s="376"/>
      <c r="D60" s="376"/>
      <c r="E60" s="376"/>
      <c r="F60" s="376"/>
      <c r="G60" s="376"/>
      <c r="H60" s="376"/>
      <c r="I60" s="376"/>
      <c r="J60" s="376"/>
      <c r="K60" s="376"/>
    </row>
    <row r="61" spans="2:11" x14ac:dyDescent="0.2">
      <c r="B61" s="376"/>
      <c r="C61" s="376"/>
      <c r="D61" s="376"/>
      <c r="E61" s="376"/>
      <c r="F61" s="376"/>
      <c r="G61" s="376"/>
      <c r="H61" s="376"/>
      <c r="I61" s="376"/>
      <c r="J61" s="376"/>
      <c r="K61" s="376"/>
    </row>
    <row r="62" spans="2:11" x14ac:dyDescent="0.2">
      <c r="B62" s="376"/>
      <c r="C62" s="376"/>
      <c r="D62" s="376"/>
      <c r="E62" s="376"/>
      <c r="F62" s="376"/>
      <c r="G62" s="376"/>
      <c r="H62" s="376"/>
      <c r="I62" s="376"/>
      <c r="J62" s="376"/>
      <c r="K62" s="376"/>
    </row>
    <row r="63" spans="2:11" x14ac:dyDescent="0.2">
      <c r="B63" s="376"/>
      <c r="C63" s="376"/>
      <c r="D63" s="376"/>
      <c r="E63" s="376"/>
      <c r="F63" s="376"/>
      <c r="G63" s="376"/>
      <c r="H63" s="376"/>
      <c r="I63" s="376"/>
      <c r="J63" s="376"/>
      <c r="K63" s="376"/>
    </row>
    <row r="64" spans="2:11" x14ac:dyDescent="0.2">
      <c r="B64" s="376"/>
      <c r="C64" s="376"/>
      <c r="D64" s="376"/>
      <c r="E64" s="376"/>
      <c r="F64" s="376"/>
      <c r="G64" s="376"/>
      <c r="H64" s="376"/>
      <c r="I64" s="376"/>
      <c r="J64" s="376"/>
      <c r="K64" s="376"/>
    </row>
    <row r="65" spans="2:11" x14ac:dyDescent="0.2">
      <c r="B65" s="376"/>
      <c r="C65" s="376"/>
      <c r="D65" s="376"/>
      <c r="E65" s="376"/>
      <c r="F65" s="376"/>
      <c r="G65" s="376"/>
      <c r="H65" s="376"/>
      <c r="I65" s="376"/>
      <c r="J65" s="376"/>
      <c r="K65" s="376"/>
    </row>
    <row r="66" spans="2:11" x14ac:dyDescent="0.2">
      <c r="B66" s="376"/>
      <c r="C66" s="376"/>
      <c r="D66" s="376"/>
      <c r="E66" s="376"/>
      <c r="F66" s="376"/>
      <c r="G66" s="376"/>
      <c r="H66" s="376"/>
      <c r="I66" s="376"/>
      <c r="J66" s="376"/>
      <c r="K66" s="376"/>
    </row>
    <row r="67" spans="2:11" x14ac:dyDescent="0.2">
      <c r="B67" s="376"/>
      <c r="C67" s="376"/>
      <c r="D67" s="376"/>
      <c r="E67" s="376"/>
      <c r="F67" s="376"/>
      <c r="G67" s="376"/>
      <c r="H67" s="376"/>
      <c r="I67" s="376"/>
      <c r="J67" s="376"/>
      <c r="K67" s="376"/>
    </row>
    <row r="68" spans="2:11" x14ac:dyDescent="0.2">
      <c r="B68" s="376"/>
      <c r="C68" s="376"/>
      <c r="D68" s="376"/>
      <c r="E68" s="376"/>
      <c r="F68" s="376"/>
      <c r="G68" s="376"/>
      <c r="H68" s="376"/>
      <c r="I68" s="376"/>
      <c r="J68" s="376"/>
      <c r="K68" s="376"/>
    </row>
    <row r="69" spans="2:11" ht="15.75" x14ac:dyDescent="0.25">
      <c r="B69" s="374" t="s">
        <v>239</v>
      </c>
      <c r="C69" s="375"/>
      <c r="D69" s="375"/>
      <c r="E69" s="375"/>
      <c r="F69" s="375"/>
      <c r="G69" s="375"/>
      <c r="H69" s="375"/>
      <c r="I69" s="375"/>
      <c r="J69" s="375"/>
      <c r="K69" s="375"/>
    </row>
    <row r="70" spans="2:11" x14ac:dyDescent="0.2">
      <c r="B70" s="376" t="s">
        <v>482</v>
      </c>
      <c r="C70" s="376"/>
      <c r="D70" s="376"/>
      <c r="E70" s="376"/>
      <c r="F70" s="376"/>
      <c r="G70" s="376"/>
      <c r="H70" s="376"/>
      <c r="I70" s="376"/>
      <c r="J70" s="376"/>
      <c r="K70" s="376"/>
    </row>
    <row r="71" spans="2:11" x14ac:dyDescent="0.2">
      <c r="B71" s="376"/>
      <c r="C71" s="376"/>
      <c r="D71" s="376"/>
      <c r="E71" s="376"/>
      <c r="F71" s="376"/>
      <c r="G71" s="376"/>
      <c r="H71" s="376"/>
      <c r="I71" s="376"/>
      <c r="J71" s="376"/>
      <c r="K71" s="376"/>
    </row>
    <row r="72" spans="2:11" x14ac:dyDescent="0.2">
      <c r="B72" s="376"/>
      <c r="C72" s="376"/>
      <c r="D72" s="376"/>
      <c r="E72" s="376"/>
      <c r="F72" s="376"/>
      <c r="G72" s="376"/>
      <c r="H72" s="376"/>
      <c r="I72" s="376"/>
      <c r="J72" s="376"/>
      <c r="K72" s="376"/>
    </row>
    <row r="73" spans="2:11" x14ac:dyDescent="0.2">
      <c r="B73" s="376"/>
      <c r="C73" s="376"/>
      <c r="D73" s="376"/>
      <c r="E73" s="376"/>
      <c r="F73" s="376"/>
      <c r="G73" s="376"/>
      <c r="H73" s="376"/>
      <c r="I73" s="376"/>
      <c r="J73" s="376"/>
      <c r="K73" s="376"/>
    </row>
    <row r="74" spans="2:11" x14ac:dyDescent="0.2">
      <c r="B74" s="376"/>
      <c r="C74" s="376"/>
      <c r="D74" s="376"/>
      <c r="E74" s="376"/>
      <c r="F74" s="376"/>
      <c r="G74" s="376"/>
      <c r="H74" s="376"/>
      <c r="I74" s="376"/>
      <c r="J74" s="376"/>
      <c r="K74" s="376"/>
    </row>
    <row r="75" spans="2:11" x14ac:dyDescent="0.2">
      <c r="B75" s="376"/>
      <c r="C75" s="376"/>
      <c r="D75" s="376"/>
      <c r="E75" s="376"/>
      <c r="F75" s="376"/>
      <c r="G75" s="376"/>
      <c r="H75" s="376"/>
      <c r="I75" s="376"/>
      <c r="J75" s="376"/>
      <c r="K75" s="376"/>
    </row>
    <row r="76" spans="2:11" x14ac:dyDescent="0.2">
      <c r="B76" s="376"/>
      <c r="C76" s="376"/>
      <c r="D76" s="376"/>
      <c r="E76" s="376"/>
      <c r="F76" s="376"/>
      <c r="G76" s="376"/>
      <c r="H76" s="376"/>
      <c r="I76" s="376"/>
      <c r="J76" s="376"/>
      <c r="K76" s="376"/>
    </row>
    <row r="77" spans="2:11" x14ac:dyDescent="0.2">
      <c r="B77" s="376"/>
      <c r="C77" s="376"/>
      <c r="D77" s="376"/>
      <c r="E77" s="376"/>
      <c r="F77" s="376"/>
      <c r="G77" s="376"/>
      <c r="H77" s="376"/>
      <c r="I77" s="376"/>
      <c r="J77" s="376"/>
      <c r="K77" s="376"/>
    </row>
    <row r="78" spans="2:11" x14ac:dyDescent="0.2">
      <c r="B78" s="376"/>
      <c r="C78" s="376"/>
      <c r="D78" s="376"/>
      <c r="E78" s="376"/>
      <c r="F78" s="376"/>
      <c r="G78" s="376"/>
      <c r="H78" s="376"/>
      <c r="I78" s="376"/>
      <c r="J78" s="376"/>
      <c r="K78" s="376"/>
    </row>
    <row r="79" spans="2:11" x14ac:dyDescent="0.2">
      <c r="B79" s="376"/>
      <c r="C79" s="376"/>
      <c r="D79" s="376"/>
      <c r="E79" s="376"/>
      <c r="F79" s="376"/>
      <c r="G79" s="376"/>
      <c r="H79" s="376"/>
      <c r="I79" s="376"/>
      <c r="J79" s="376"/>
      <c r="K79" s="376"/>
    </row>
    <row r="80" spans="2:11" x14ac:dyDescent="0.2">
      <c r="B80" s="376"/>
      <c r="C80" s="376"/>
      <c r="D80" s="376"/>
      <c r="E80" s="376"/>
      <c r="F80" s="376"/>
      <c r="G80" s="376"/>
      <c r="H80" s="376"/>
      <c r="I80" s="376"/>
      <c r="J80" s="376"/>
      <c r="K80" s="376"/>
    </row>
    <row r="81" spans="2:11" ht="15.75" x14ac:dyDescent="0.25">
      <c r="B81" s="374" t="s">
        <v>240</v>
      </c>
      <c r="C81" s="375"/>
      <c r="D81" s="375"/>
      <c r="E81" s="375"/>
      <c r="F81" s="375"/>
      <c r="G81" s="375"/>
      <c r="H81" s="375"/>
      <c r="I81" s="375"/>
      <c r="J81" s="375"/>
      <c r="K81" s="375"/>
    </row>
    <row r="82" spans="2:11" x14ac:dyDescent="0.2">
      <c r="B82" s="376" t="s">
        <v>483</v>
      </c>
      <c r="C82" s="376"/>
      <c r="D82" s="376"/>
      <c r="E82" s="376"/>
      <c r="F82" s="376"/>
      <c r="G82" s="376"/>
      <c r="H82" s="376"/>
      <c r="I82" s="376"/>
      <c r="J82" s="376"/>
      <c r="K82" s="376"/>
    </row>
    <row r="83" spans="2:11" x14ac:dyDescent="0.2">
      <c r="B83" s="376"/>
      <c r="C83" s="376"/>
      <c r="D83" s="376"/>
      <c r="E83" s="376"/>
      <c r="F83" s="376"/>
      <c r="G83" s="376"/>
      <c r="H83" s="376"/>
      <c r="I83" s="376"/>
      <c r="J83" s="376"/>
      <c r="K83" s="376"/>
    </row>
    <row r="84" spans="2:11" x14ac:dyDescent="0.2">
      <c r="B84" s="376"/>
      <c r="C84" s="376"/>
      <c r="D84" s="376"/>
      <c r="E84" s="376"/>
      <c r="F84" s="376"/>
      <c r="G84" s="376"/>
      <c r="H84" s="376"/>
      <c r="I84" s="376"/>
      <c r="J84" s="376"/>
      <c r="K84" s="376"/>
    </row>
    <row r="85" spans="2:11" x14ac:dyDescent="0.2">
      <c r="B85" s="376"/>
      <c r="C85" s="376"/>
      <c r="D85" s="376"/>
      <c r="E85" s="376"/>
      <c r="F85" s="376"/>
      <c r="G85" s="376"/>
      <c r="H85" s="376"/>
      <c r="I85" s="376"/>
      <c r="J85" s="376"/>
      <c r="K85" s="376"/>
    </row>
    <row r="86" spans="2:11" x14ac:dyDescent="0.2">
      <c r="B86" s="376"/>
      <c r="C86" s="376"/>
      <c r="D86" s="376"/>
      <c r="E86" s="376"/>
      <c r="F86" s="376"/>
      <c r="G86" s="376"/>
      <c r="H86" s="376"/>
      <c r="I86" s="376"/>
      <c r="J86" s="376"/>
      <c r="K86" s="376"/>
    </row>
    <row r="87" spans="2:11" x14ac:dyDescent="0.2">
      <c r="B87" s="376"/>
      <c r="C87" s="376"/>
      <c r="D87" s="376"/>
      <c r="E87" s="376"/>
      <c r="F87" s="376"/>
      <c r="G87" s="376"/>
      <c r="H87" s="376"/>
      <c r="I87" s="376"/>
      <c r="J87" s="376"/>
      <c r="K87" s="376"/>
    </row>
    <row r="88" spans="2:11" x14ac:dyDescent="0.2">
      <c r="B88" s="376"/>
      <c r="C88" s="376"/>
      <c r="D88" s="376"/>
      <c r="E88" s="376"/>
      <c r="F88" s="376"/>
      <c r="G88" s="376"/>
      <c r="H88" s="376"/>
      <c r="I88" s="376"/>
      <c r="J88" s="376"/>
      <c r="K88" s="376"/>
    </row>
    <row r="89" spans="2:11" x14ac:dyDescent="0.2">
      <c r="B89" s="376"/>
      <c r="C89" s="376"/>
      <c r="D89" s="376"/>
      <c r="E89" s="376"/>
      <c r="F89" s="376"/>
      <c r="G89" s="376"/>
      <c r="H89" s="376"/>
      <c r="I89" s="376"/>
      <c r="J89" s="376"/>
      <c r="K89" s="376"/>
    </row>
    <row r="90" spans="2:11" x14ac:dyDescent="0.2">
      <c r="B90" s="376"/>
      <c r="C90" s="376"/>
      <c r="D90" s="376"/>
      <c r="E90" s="376"/>
      <c r="F90" s="376"/>
      <c r="G90" s="376"/>
      <c r="H90" s="376"/>
      <c r="I90" s="376"/>
      <c r="J90" s="376"/>
      <c r="K90" s="376"/>
    </row>
    <row r="91" spans="2:11" x14ac:dyDescent="0.2">
      <c r="B91" s="376"/>
      <c r="C91" s="376"/>
      <c r="D91" s="376"/>
      <c r="E91" s="376"/>
      <c r="F91" s="376"/>
      <c r="G91" s="376"/>
      <c r="H91" s="376"/>
      <c r="I91" s="376"/>
      <c r="J91" s="376"/>
      <c r="K91" s="376"/>
    </row>
    <row r="92" spans="2:11" x14ac:dyDescent="0.2">
      <c r="B92" s="376"/>
      <c r="C92" s="376"/>
      <c r="D92" s="376"/>
      <c r="E92" s="376"/>
      <c r="F92" s="376"/>
      <c r="G92" s="376"/>
      <c r="H92" s="376"/>
      <c r="I92" s="376"/>
      <c r="J92" s="376"/>
      <c r="K92" s="376"/>
    </row>
    <row r="93" spans="2:11" x14ac:dyDescent="0.2">
      <c r="B93" s="376"/>
      <c r="C93" s="376"/>
      <c r="D93" s="376"/>
      <c r="E93" s="376"/>
      <c r="F93" s="376"/>
      <c r="G93" s="376"/>
      <c r="H93" s="376"/>
      <c r="I93" s="376"/>
      <c r="J93" s="376"/>
      <c r="K93" s="376"/>
    </row>
    <row r="94" spans="2:11" x14ac:dyDescent="0.2">
      <c r="B94" s="376"/>
      <c r="C94" s="376"/>
      <c r="D94" s="376"/>
      <c r="E94" s="376"/>
      <c r="F94" s="376"/>
      <c r="G94" s="376"/>
      <c r="H94" s="376"/>
      <c r="I94" s="376"/>
      <c r="J94" s="376"/>
      <c r="K94" s="376"/>
    </row>
    <row r="95" spans="2:11" x14ac:dyDescent="0.2">
      <c r="B95" s="376"/>
      <c r="C95" s="376"/>
      <c r="D95" s="376"/>
      <c r="E95" s="376"/>
      <c r="F95" s="376"/>
      <c r="G95" s="376"/>
      <c r="H95" s="376"/>
      <c r="I95" s="376"/>
      <c r="J95" s="376"/>
      <c r="K95" s="376"/>
    </row>
    <row r="96" spans="2:11" x14ac:dyDescent="0.2">
      <c r="B96" s="376"/>
      <c r="C96" s="376"/>
      <c r="D96" s="376"/>
      <c r="E96" s="376"/>
      <c r="F96" s="376"/>
      <c r="G96" s="376"/>
      <c r="H96" s="376"/>
      <c r="I96" s="376"/>
      <c r="J96" s="376"/>
      <c r="K96" s="376"/>
    </row>
    <row r="97" spans="2:11" x14ac:dyDescent="0.2">
      <c r="B97" s="376"/>
      <c r="C97" s="376"/>
      <c r="D97" s="376"/>
      <c r="E97" s="376"/>
      <c r="F97" s="376"/>
      <c r="G97" s="376"/>
      <c r="H97" s="376"/>
      <c r="I97" s="376"/>
      <c r="J97" s="376"/>
      <c r="K97" s="376"/>
    </row>
    <row r="98" spans="2:11" x14ac:dyDescent="0.2">
      <c r="B98" s="376"/>
      <c r="C98" s="376"/>
      <c r="D98" s="376"/>
      <c r="E98" s="376"/>
      <c r="F98" s="376"/>
      <c r="G98" s="376"/>
      <c r="H98" s="376"/>
      <c r="I98" s="376"/>
      <c r="J98" s="376"/>
      <c r="K98" s="376"/>
    </row>
    <row r="99" spans="2:11" x14ac:dyDescent="0.2">
      <c r="B99" s="376"/>
      <c r="C99" s="376"/>
      <c r="D99" s="376"/>
      <c r="E99" s="376"/>
      <c r="F99" s="376"/>
      <c r="G99" s="376"/>
      <c r="H99" s="376"/>
      <c r="I99" s="376"/>
      <c r="J99" s="376"/>
      <c r="K99" s="376"/>
    </row>
    <row r="100" spans="2:11" x14ac:dyDescent="0.2">
      <c r="B100" s="376"/>
      <c r="C100" s="376"/>
      <c r="D100" s="376"/>
      <c r="E100" s="376"/>
      <c r="F100" s="376"/>
      <c r="G100" s="376"/>
      <c r="H100" s="376"/>
      <c r="I100" s="376"/>
      <c r="J100" s="376"/>
      <c r="K100" s="376"/>
    </row>
    <row r="101" spans="2:11" x14ac:dyDescent="0.2">
      <c r="B101" s="376"/>
      <c r="C101" s="376"/>
      <c r="D101" s="376"/>
      <c r="E101" s="376"/>
      <c r="F101" s="376"/>
      <c r="G101" s="376"/>
      <c r="H101" s="376"/>
      <c r="I101" s="376"/>
      <c r="J101" s="376"/>
      <c r="K101" s="376"/>
    </row>
    <row r="102" spans="2:11" x14ac:dyDescent="0.2">
      <c r="B102" s="376"/>
      <c r="C102" s="376"/>
      <c r="D102" s="376"/>
      <c r="E102" s="376"/>
      <c r="F102" s="376"/>
      <c r="G102" s="376"/>
      <c r="H102" s="376"/>
      <c r="I102" s="376"/>
      <c r="J102" s="376"/>
      <c r="K102" s="376"/>
    </row>
    <row r="103" spans="2:11" x14ac:dyDescent="0.2">
      <c r="B103" s="376"/>
      <c r="C103" s="376"/>
      <c r="D103" s="376"/>
      <c r="E103" s="376"/>
      <c r="F103" s="376"/>
      <c r="G103" s="376"/>
      <c r="H103" s="376"/>
      <c r="I103" s="376"/>
      <c r="J103" s="376"/>
      <c r="K103" s="376"/>
    </row>
    <row r="104" spans="2:11" x14ac:dyDescent="0.2">
      <c r="B104" s="376"/>
      <c r="C104" s="376"/>
      <c r="D104" s="376"/>
      <c r="E104" s="376"/>
      <c r="F104" s="376"/>
      <c r="G104" s="376"/>
      <c r="H104" s="376"/>
      <c r="I104" s="376"/>
      <c r="J104" s="376"/>
      <c r="K104" s="376"/>
    </row>
    <row r="105" spans="2:11" x14ac:dyDescent="0.2">
      <c r="B105" s="376"/>
      <c r="C105" s="376"/>
      <c r="D105" s="376"/>
      <c r="E105" s="376"/>
      <c r="F105" s="376"/>
      <c r="G105" s="376"/>
      <c r="H105" s="376"/>
      <c r="I105" s="376"/>
      <c r="J105" s="376"/>
      <c r="K105" s="376"/>
    </row>
    <row r="106" spans="2:11" x14ac:dyDescent="0.2">
      <c r="B106" s="377" t="s">
        <v>501</v>
      </c>
      <c r="C106" s="377"/>
      <c r="D106" s="377"/>
      <c r="E106" s="377"/>
      <c r="F106" s="377"/>
      <c r="G106" s="377"/>
      <c r="H106" s="377"/>
      <c r="I106" s="377"/>
      <c r="J106" s="377"/>
      <c r="K106" s="377"/>
    </row>
    <row r="107" spans="2:11" x14ac:dyDescent="0.2">
      <c r="B107" s="377"/>
      <c r="C107" s="377"/>
      <c r="D107" s="377"/>
      <c r="E107" s="377"/>
      <c r="F107" s="377"/>
      <c r="G107" s="377"/>
      <c r="H107" s="377"/>
      <c r="I107" s="377"/>
      <c r="J107" s="377"/>
      <c r="K107" s="377"/>
    </row>
    <row r="108" spans="2:11" x14ac:dyDescent="0.2">
      <c r="B108" s="377"/>
      <c r="C108" s="377"/>
      <c r="D108" s="377"/>
      <c r="E108" s="377"/>
      <c r="F108" s="377"/>
      <c r="G108" s="377"/>
      <c r="H108" s="377"/>
      <c r="I108" s="377"/>
      <c r="J108" s="377"/>
      <c r="K108" s="377"/>
    </row>
    <row r="109" spans="2:11" x14ac:dyDescent="0.2">
      <c r="B109" s="377"/>
      <c r="C109" s="377"/>
      <c r="D109" s="377"/>
      <c r="E109" s="377"/>
      <c r="F109" s="377"/>
      <c r="G109" s="377"/>
      <c r="H109" s="377"/>
      <c r="I109" s="377"/>
      <c r="J109" s="377"/>
      <c r="K109" s="377"/>
    </row>
  </sheetData>
  <sheetProtection algorithmName="SHA-512" hashValue="VJRSVoPaou6TwZ1zo/81vvTk/4VvWSjrLNjs4/9s2VTgoSxiQReEARC48ssADACgr9iTYykDh62rfG0lqVeQGw==" saltValue="TIb2Eda149BGhePyrbobDg==" spinCount="100000" sheet="1" selectLockedCells="1" selectUnlockedCells="1"/>
  <mergeCells count="9">
    <mergeCell ref="B81:K81"/>
    <mergeCell ref="B82:K105"/>
    <mergeCell ref="B106:K109"/>
    <mergeCell ref="B1:K3"/>
    <mergeCell ref="B4:K13"/>
    <mergeCell ref="B14:K14"/>
    <mergeCell ref="B15:K68"/>
    <mergeCell ref="B69:K69"/>
    <mergeCell ref="B70:K80"/>
  </mergeCells>
  <pageMargins left="0.25" right="0.25" top="0.75" bottom="0.75" header="0.3" footer="0.3"/>
  <pageSetup fitToHeight="0" orientation="portrait" r:id="rId1"/>
  <headerFooter alignWithMargins="0"/>
  <rowBreaks count="1" manualBreakCount="1">
    <brk id="68" min="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B2:AF41"/>
  <sheetViews>
    <sheetView showGridLines="0" showRowColHeaders="0" zoomScaleNormal="100" workbookViewId="0">
      <selection activeCell="I36" sqref="I36:K36"/>
    </sheetView>
  </sheetViews>
  <sheetFormatPr defaultRowHeight="12.75" x14ac:dyDescent="0.2"/>
  <cols>
    <col min="1" max="1" width="2.42578125" customWidth="1"/>
    <col min="2" max="2" width="0.7109375" customWidth="1"/>
    <col min="3" max="3" width="2.42578125" customWidth="1"/>
    <col min="4" max="4" width="2.28515625" customWidth="1"/>
    <col min="5" max="5" width="8.7109375" customWidth="1"/>
    <col min="6" max="7" width="9.7109375" customWidth="1"/>
    <col min="8" max="8" width="3.7109375" customWidth="1"/>
    <col min="9" max="26" width="5.7109375" customWidth="1"/>
    <col min="27" max="27" width="0.7109375" customWidth="1"/>
    <col min="28" max="30" width="6.7109375" customWidth="1"/>
    <col min="31" max="32" width="0.7109375" customWidth="1"/>
    <col min="33" max="33" width="5.7109375" customWidth="1"/>
  </cols>
  <sheetData>
    <row r="2" spans="2:32" ht="5.0999999999999996" customHeight="1" thickBot="1" x14ac:dyDescent="0.2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3"/>
    </row>
    <row r="3" spans="2:32" x14ac:dyDescent="0.2">
      <c r="B3" s="4"/>
      <c r="C3" s="203"/>
      <c r="D3" s="204"/>
      <c r="E3" s="204"/>
      <c r="F3" s="204"/>
      <c r="G3" s="204"/>
      <c r="H3" s="204"/>
      <c r="I3" s="204"/>
      <c r="J3" s="204"/>
      <c r="K3" s="204"/>
      <c r="L3" s="204"/>
      <c r="M3" s="204"/>
      <c r="N3" s="204"/>
      <c r="O3" s="204"/>
      <c r="P3" s="204"/>
      <c r="Q3" s="204"/>
      <c r="R3" s="204"/>
      <c r="S3" s="204"/>
      <c r="T3" s="204"/>
      <c r="U3" s="204"/>
      <c r="V3" s="204"/>
      <c r="W3" s="204"/>
      <c r="X3" s="204"/>
      <c r="Y3" s="204"/>
      <c r="Z3" s="204"/>
      <c r="AA3" s="211"/>
      <c r="AB3" s="212" t="str">
        <f>'Project Data'!R3</f>
        <v xml:space="preserve">OSP Budget Revision Date: </v>
      </c>
      <c r="AC3" s="994">
        <f>Var_SpreadsheetRevisionDate</f>
        <v>44910</v>
      </c>
      <c r="AD3" s="994"/>
      <c r="AE3" s="205"/>
      <c r="AF3" s="5"/>
    </row>
    <row r="4" spans="2:32" x14ac:dyDescent="0.2">
      <c r="B4" s="4"/>
      <c r="C4" s="185"/>
      <c r="D4" s="186"/>
      <c r="E4" s="186"/>
      <c r="F4" s="186"/>
      <c r="G4" s="186"/>
      <c r="H4" s="186"/>
      <c r="I4" s="186"/>
      <c r="J4" s="186"/>
      <c r="K4" s="186"/>
      <c r="L4" s="186"/>
      <c r="M4" s="1004" t="s">
        <v>0</v>
      </c>
      <c r="N4" s="1004"/>
      <c r="O4" s="1004"/>
      <c r="P4" s="1004"/>
      <c r="Q4" s="1004"/>
      <c r="R4" s="1004"/>
      <c r="S4" s="1004"/>
      <c r="T4" s="1004"/>
      <c r="U4" s="1036">
        <f>Data_PIName</f>
        <v>0</v>
      </c>
      <c r="V4" s="1036"/>
      <c r="W4" s="1036"/>
      <c r="X4" s="1036"/>
      <c r="Y4" s="1036"/>
      <c r="Z4" s="1036"/>
      <c r="AA4" s="1036"/>
      <c r="AB4" s="1036"/>
      <c r="AC4" s="1036"/>
      <c r="AD4" s="1036"/>
      <c r="AE4" s="187"/>
      <c r="AF4" s="5"/>
    </row>
    <row r="5" spans="2:32" ht="12.75" customHeight="1" x14ac:dyDescent="0.2">
      <c r="B5" s="4"/>
      <c r="C5" s="185"/>
      <c r="D5" s="186"/>
      <c r="E5" s="186"/>
      <c r="F5" s="186"/>
      <c r="G5" s="186"/>
      <c r="H5" s="186"/>
      <c r="I5" s="186"/>
      <c r="J5" s="186"/>
      <c r="K5" s="186"/>
      <c r="L5" s="186"/>
      <c r="M5" s="1004" t="s">
        <v>477</v>
      </c>
      <c r="N5" s="1004"/>
      <c r="O5" s="1004"/>
      <c r="P5" s="1004"/>
      <c r="Q5" s="1004"/>
      <c r="R5" s="1004"/>
      <c r="S5" s="1004"/>
      <c r="T5" s="1004"/>
      <c r="U5" s="1037">
        <f>Data_ProjectTitle</f>
        <v>0</v>
      </c>
      <c r="V5" s="1037"/>
      <c r="W5" s="1037"/>
      <c r="X5" s="1037"/>
      <c r="Y5" s="1037"/>
      <c r="Z5" s="1037"/>
      <c r="AA5" s="1037"/>
      <c r="AB5" s="1037"/>
      <c r="AC5" s="1037"/>
      <c r="AD5" s="1037"/>
      <c r="AE5" s="187"/>
      <c r="AF5" s="5"/>
    </row>
    <row r="6" spans="2:32" x14ac:dyDescent="0.2">
      <c r="B6" s="4"/>
      <c r="C6" s="185"/>
      <c r="D6" s="186"/>
      <c r="E6" s="240"/>
      <c r="F6" s="240" t="s">
        <v>442</v>
      </c>
      <c r="G6" s="239">
        <f>IF(Data_ProjectStartDate&gt;=Var_EarliestProjectStartDate,TEXT(Data_ProjectStartDate," mmmm d, yyyy") &amp; " - " &amp; IF(Data_ProjectEndDate&gt;Data_ProjectStartDate,TEXT(Data_ProjectEndDate," mmmm d, yyyy"),""),0)</f>
        <v>0</v>
      </c>
      <c r="H6" s="186"/>
      <c r="I6" s="186"/>
      <c r="J6" s="186"/>
      <c r="K6" s="186"/>
      <c r="L6" s="186"/>
      <c r="M6" s="1004" t="s">
        <v>186</v>
      </c>
      <c r="N6" s="1004"/>
      <c r="O6" s="1004"/>
      <c r="P6" s="1004"/>
      <c r="Q6" s="1004"/>
      <c r="R6" s="1004"/>
      <c r="S6" s="1004"/>
      <c r="T6" s="1004"/>
      <c r="U6" s="1037"/>
      <c r="V6" s="1037"/>
      <c r="W6" s="1037"/>
      <c r="X6" s="1037"/>
      <c r="Y6" s="1037"/>
      <c r="Z6" s="1037"/>
      <c r="AA6" s="1037"/>
      <c r="AB6" s="1037"/>
      <c r="AC6" s="1037"/>
      <c r="AD6" s="1037"/>
      <c r="AE6" s="187"/>
      <c r="AF6" s="5"/>
    </row>
    <row r="7" spans="2:32" ht="13.5" thickBot="1" x14ac:dyDescent="0.25">
      <c r="B7" s="4"/>
      <c r="C7" s="995"/>
      <c r="D7" s="996"/>
      <c r="E7" s="996"/>
      <c r="F7" s="996"/>
      <c r="G7" s="996"/>
      <c r="H7" s="996"/>
      <c r="I7" s="996"/>
      <c r="J7" s="996"/>
      <c r="K7" s="996"/>
      <c r="L7" s="996"/>
      <c r="M7" s="996"/>
      <c r="N7" s="996"/>
      <c r="O7" s="996"/>
      <c r="P7" s="996"/>
      <c r="Q7" s="996"/>
      <c r="R7" s="996"/>
      <c r="S7" s="996"/>
      <c r="T7" s="996"/>
      <c r="U7" s="996"/>
      <c r="V7" s="996"/>
      <c r="W7" s="996"/>
      <c r="X7" s="996"/>
      <c r="Y7" s="996"/>
      <c r="Z7" s="996"/>
      <c r="AA7" s="996"/>
      <c r="AB7" s="996"/>
      <c r="AC7" s="996"/>
      <c r="AD7" s="996"/>
      <c r="AE7" s="997"/>
      <c r="AF7" s="5"/>
    </row>
    <row r="8" spans="2:32" x14ac:dyDescent="0.2">
      <c r="B8" s="6"/>
      <c r="C8" s="137"/>
      <c r="D8" s="137"/>
      <c r="E8" s="137"/>
      <c r="F8" s="137"/>
      <c r="G8" s="137"/>
      <c r="H8" s="137"/>
      <c r="I8" s="998" t="s">
        <v>176</v>
      </c>
      <c r="J8" s="999"/>
      <c r="K8" s="1000"/>
      <c r="L8" s="998" t="s">
        <v>177</v>
      </c>
      <c r="M8" s="999"/>
      <c r="N8" s="1000"/>
      <c r="O8" s="998" t="s">
        <v>178</v>
      </c>
      <c r="P8" s="999"/>
      <c r="Q8" s="1000"/>
      <c r="R8" s="998" t="s">
        <v>179</v>
      </c>
      <c r="S8" s="999"/>
      <c r="T8" s="1000"/>
      <c r="U8" s="998" t="s">
        <v>180</v>
      </c>
      <c r="V8" s="999"/>
      <c r="W8" s="1000"/>
      <c r="X8" s="998" t="s">
        <v>226</v>
      </c>
      <c r="Y8" s="999"/>
      <c r="Z8" s="1000"/>
      <c r="AA8" s="191"/>
      <c r="AB8" s="1005" t="s">
        <v>175</v>
      </c>
      <c r="AC8" s="1006"/>
      <c r="AD8" s="1007"/>
      <c r="AE8" s="137"/>
      <c r="AF8" s="6"/>
    </row>
    <row r="9" spans="2:32" x14ac:dyDescent="0.2">
      <c r="B9" s="6"/>
      <c r="C9" s="137"/>
      <c r="D9" s="137"/>
      <c r="E9" s="137"/>
      <c r="F9" s="137"/>
      <c r="G9" s="137"/>
      <c r="H9" s="137"/>
      <c r="I9" s="1001"/>
      <c r="J9" s="1002"/>
      <c r="K9" s="1003"/>
      <c r="L9" s="1001"/>
      <c r="M9" s="1002"/>
      <c r="N9" s="1003"/>
      <c r="O9" s="1001"/>
      <c r="P9" s="1002"/>
      <c r="Q9" s="1003"/>
      <c r="R9" s="1001"/>
      <c r="S9" s="1002"/>
      <c r="T9" s="1003"/>
      <c r="U9" s="1001"/>
      <c r="V9" s="1002"/>
      <c r="W9" s="1003"/>
      <c r="X9" s="1001"/>
      <c r="Y9" s="1002"/>
      <c r="Z9" s="1003"/>
      <c r="AA9" s="192"/>
      <c r="AB9" s="1008"/>
      <c r="AC9" s="1009"/>
      <c r="AD9" s="1010"/>
      <c r="AE9" s="137"/>
      <c r="AF9" s="6"/>
    </row>
    <row r="10" spans="2:32" ht="7.5" customHeight="1" x14ac:dyDescent="0.2">
      <c r="B10" s="6"/>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6"/>
    </row>
    <row r="11" spans="2:32" ht="15" customHeight="1" x14ac:dyDescent="0.2">
      <c r="B11" s="6"/>
      <c r="C11" s="137"/>
      <c r="D11" s="193" t="s">
        <v>232</v>
      </c>
      <c r="E11" s="194"/>
      <c r="F11" s="194"/>
      <c r="G11" s="195"/>
      <c r="H11" s="137"/>
      <c r="I11" s="1011"/>
      <c r="J11" s="1011"/>
      <c r="K11" s="1011"/>
      <c r="L11" s="1011"/>
      <c r="M11" s="1011"/>
      <c r="N11" s="1011"/>
      <c r="O11" s="1011"/>
      <c r="P11" s="1011"/>
      <c r="Q11" s="1011"/>
      <c r="R11" s="1011"/>
      <c r="S11" s="1011"/>
      <c r="T11" s="1011"/>
      <c r="U11" s="1011"/>
      <c r="V11" s="1011"/>
      <c r="W11" s="1011"/>
      <c r="X11" s="1011"/>
      <c r="Y11" s="1011"/>
      <c r="Z11" s="1011"/>
      <c r="AA11" s="137"/>
      <c r="AB11" s="1015"/>
      <c r="AC11" s="1015"/>
      <c r="AD11" s="1015"/>
      <c r="AE11" s="137"/>
      <c r="AF11" s="6"/>
    </row>
    <row r="12" spans="2:32" ht="15" customHeight="1" x14ac:dyDescent="0.2">
      <c r="B12" s="6"/>
      <c r="C12" s="137"/>
      <c r="D12" s="193"/>
      <c r="E12" s="194" t="s">
        <v>286</v>
      </c>
      <c r="F12" s="194"/>
      <c r="G12" s="195"/>
      <c r="H12" s="137"/>
      <c r="I12" s="1012">
        <f>Result_PersonnelSalary_Y1</f>
        <v>0</v>
      </c>
      <c r="J12" s="1013"/>
      <c r="K12" s="1014"/>
      <c r="L12" s="1012">
        <f>Result_PersonnelSalary_Y2</f>
        <v>0</v>
      </c>
      <c r="M12" s="1013"/>
      <c r="N12" s="1014"/>
      <c r="O12" s="1012">
        <f>Result_PersonnelSalary_Y3</f>
        <v>0</v>
      </c>
      <c r="P12" s="1013"/>
      <c r="Q12" s="1014"/>
      <c r="R12" s="1012">
        <f>Result_PersonnelSalary_Y4</f>
        <v>0</v>
      </c>
      <c r="S12" s="1013"/>
      <c r="T12" s="1014"/>
      <c r="U12" s="1012">
        <f>Result_PersonnelSalary_Y5</f>
        <v>0</v>
      </c>
      <c r="V12" s="1013"/>
      <c r="W12" s="1014"/>
      <c r="X12" s="1012">
        <f>Result_PersonnelSalary_Y6</f>
        <v>0</v>
      </c>
      <c r="Y12" s="1013"/>
      <c r="Z12" s="1014"/>
      <c r="AA12" s="137"/>
      <c r="AB12" s="1016">
        <f t="shared" ref="AB12:AB24" si="0">SUM(I12:Z12)</f>
        <v>0</v>
      </c>
      <c r="AC12" s="1017"/>
      <c r="AD12" s="1018"/>
      <c r="AE12" s="137"/>
      <c r="AF12" s="6"/>
    </row>
    <row r="13" spans="2:32" ht="15" customHeight="1" x14ac:dyDescent="0.2">
      <c r="B13" s="6"/>
      <c r="C13" s="137"/>
      <c r="D13" s="193"/>
      <c r="E13" s="194" t="s">
        <v>287</v>
      </c>
      <c r="F13" s="194"/>
      <c r="G13" s="195"/>
      <c r="H13" s="137"/>
      <c r="I13" s="1012">
        <f>Result_GradAsstSalary_Y1</f>
        <v>0</v>
      </c>
      <c r="J13" s="1013"/>
      <c r="K13" s="1014"/>
      <c r="L13" s="1012">
        <f>Result_GradAsstSalary_Y2</f>
        <v>0</v>
      </c>
      <c r="M13" s="1013"/>
      <c r="N13" s="1014"/>
      <c r="O13" s="1012">
        <f>Result_GradAsstSalary_Y3</f>
        <v>0</v>
      </c>
      <c r="P13" s="1013"/>
      <c r="Q13" s="1014"/>
      <c r="R13" s="1012">
        <f>Result_GradAsstSalary_Y4</f>
        <v>0</v>
      </c>
      <c r="S13" s="1013"/>
      <c r="T13" s="1014"/>
      <c r="U13" s="1012">
        <f>Result_GradAsstSalary_Y5</f>
        <v>0</v>
      </c>
      <c r="V13" s="1013"/>
      <c r="W13" s="1014"/>
      <c r="X13" s="1012">
        <f>Result_GradAsstSalary_Y6</f>
        <v>0</v>
      </c>
      <c r="Y13" s="1013"/>
      <c r="Z13" s="1014"/>
      <c r="AA13" s="137"/>
      <c r="AB13" s="1016">
        <f t="shared" si="0"/>
        <v>0</v>
      </c>
      <c r="AC13" s="1017"/>
      <c r="AD13" s="1018"/>
      <c r="AE13" s="137"/>
      <c r="AF13" s="6"/>
    </row>
    <row r="14" spans="2:32" ht="15" customHeight="1" x14ac:dyDescent="0.2">
      <c r="B14" s="6"/>
      <c r="C14" s="137"/>
      <c r="D14" s="193"/>
      <c r="E14" s="194" t="s">
        <v>129</v>
      </c>
      <c r="F14" s="194"/>
      <c r="G14" s="195"/>
      <c r="H14" s="137"/>
      <c r="I14" s="1012">
        <f>Result_StudentSalary_Y1</f>
        <v>0</v>
      </c>
      <c r="J14" s="1013"/>
      <c r="K14" s="1014"/>
      <c r="L14" s="1012">
        <f>Result_StudentSalary_Y2</f>
        <v>0</v>
      </c>
      <c r="M14" s="1013"/>
      <c r="N14" s="1014"/>
      <c r="O14" s="1012">
        <f>Result_StudentSalary_Y3</f>
        <v>0</v>
      </c>
      <c r="P14" s="1013"/>
      <c r="Q14" s="1014"/>
      <c r="R14" s="1012">
        <f>Result_StudentSalary_Y4</f>
        <v>0</v>
      </c>
      <c r="S14" s="1013"/>
      <c r="T14" s="1014"/>
      <c r="U14" s="1012">
        <f>Result_StudentSalary_Y5</f>
        <v>0</v>
      </c>
      <c r="V14" s="1013"/>
      <c r="W14" s="1014"/>
      <c r="X14" s="1012">
        <f>Result_StudentSalary_Y6</f>
        <v>0</v>
      </c>
      <c r="Y14" s="1013"/>
      <c r="Z14" s="1014"/>
      <c r="AA14" s="137"/>
      <c r="AB14" s="1016">
        <f>SUM(I14:Z14)</f>
        <v>0</v>
      </c>
      <c r="AC14" s="1017"/>
      <c r="AD14" s="1018"/>
      <c r="AE14" s="137"/>
      <c r="AF14" s="6"/>
    </row>
    <row r="15" spans="2:32" ht="15" customHeight="1" x14ac:dyDescent="0.2">
      <c r="B15" s="6"/>
      <c r="C15" s="137"/>
      <c r="D15" s="193" t="s">
        <v>90</v>
      </c>
      <c r="E15" s="194"/>
      <c r="F15" s="194"/>
      <c r="G15" s="195"/>
      <c r="H15" s="137"/>
      <c r="I15" s="1012">
        <f>Result_FringeBenefits_Y1</f>
        <v>0</v>
      </c>
      <c r="J15" s="1013"/>
      <c r="K15" s="1014"/>
      <c r="L15" s="1012">
        <f>Result_FringeBenefits_Y2</f>
        <v>0</v>
      </c>
      <c r="M15" s="1013"/>
      <c r="N15" s="1014"/>
      <c r="O15" s="1012">
        <f>Result_FringeBenefits_Y3</f>
        <v>0</v>
      </c>
      <c r="P15" s="1013"/>
      <c r="Q15" s="1014"/>
      <c r="R15" s="1012">
        <f>Result_FringeBenefits_Y4</f>
        <v>0</v>
      </c>
      <c r="S15" s="1013"/>
      <c r="T15" s="1014"/>
      <c r="U15" s="1012">
        <f>Result_FringeBenefits_Y5</f>
        <v>0</v>
      </c>
      <c r="V15" s="1013"/>
      <c r="W15" s="1014"/>
      <c r="X15" s="1012">
        <f>Result_FringeBenefits_Y6</f>
        <v>0</v>
      </c>
      <c r="Y15" s="1013"/>
      <c r="Z15" s="1014"/>
      <c r="AA15" s="137"/>
      <c r="AB15" s="1016">
        <f t="shared" si="0"/>
        <v>0</v>
      </c>
      <c r="AC15" s="1017"/>
      <c r="AD15" s="1018"/>
      <c r="AE15" s="137"/>
      <c r="AF15" s="6"/>
    </row>
    <row r="16" spans="2:32" ht="15" customHeight="1" x14ac:dyDescent="0.2">
      <c r="B16" s="6"/>
      <c r="C16" s="137"/>
      <c r="D16" s="193" t="s">
        <v>154</v>
      </c>
      <c r="E16" s="194"/>
      <c r="F16" s="194"/>
      <c r="G16" s="195"/>
      <c r="H16" s="137"/>
      <c r="I16" s="1012">
        <f>Result_PersonnelCosts_Y1</f>
        <v>0</v>
      </c>
      <c r="J16" s="1013"/>
      <c r="K16" s="1014"/>
      <c r="L16" s="1012">
        <f>Result_PersonnelCosts_Y2</f>
        <v>0</v>
      </c>
      <c r="M16" s="1013"/>
      <c r="N16" s="1014"/>
      <c r="O16" s="1012">
        <f>Result_PersonnelCosts_Y3</f>
        <v>0</v>
      </c>
      <c r="P16" s="1013"/>
      <c r="Q16" s="1014"/>
      <c r="R16" s="1012">
        <f>Result_PersonnelCosts_Y4</f>
        <v>0</v>
      </c>
      <c r="S16" s="1013"/>
      <c r="T16" s="1014"/>
      <c r="U16" s="1012">
        <f>Result_PersonnelCosts_Y5</f>
        <v>0</v>
      </c>
      <c r="V16" s="1013"/>
      <c r="W16" s="1014"/>
      <c r="X16" s="1012">
        <f>Result_PersonnelCosts_Y6</f>
        <v>0</v>
      </c>
      <c r="Y16" s="1013"/>
      <c r="Z16" s="1014"/>
      <c r="AA16" s="137"/>
      <c r="AB16" s="1016">
        <f t="shared" si="0"/>
        <v>0</v>
      </c>
      <c r="AC16" s="1017"/>
      <c r="AD16" s="1018"/>
      <c r="AE16" s="137"/>
      <c r="AF16" s="6"/>
    </row>
    <row r="17" spans="2:32" ht="15" customHeight="1" x14ac:dyDescent="0.2">
      <c r="B17" s="6"/>
      <c r="C17" s="137"/>
      <c r="D17" s="144"/>
      <c r="E17" s="144"/>
      <c r="F17" s="144"/>
      <c r="G17" s="144"/>
      <c r="H17" s="137"/>
      <c r="I17" s="190"/>
      <c r="J17" s="190"/>
      <c r="K17" s="190"/>
      <c r="L17" s="190"/>
      <c r="M17" s="190"/>
      <c r="N17" s="190"/>
      <c r="O17" s="190"/>
      <c r="P17" s="190"/>
      <c r="Q17" s="190"/>
      <c r="R17" s="190"/>
      <c r="S17" s="190"/>
      <c r="T17" s="190"/>
      <c r="U17" s="190"/>
      <c r="V17" s="190"/>
      <c r="W17" s="190"/>
      <c r="X17" s="190"/>
      <c r="Y17" s="190"/>
      <c r="Z17" s="190"/>
      <c r="AA17" s="137"/>
      <c r="AB17" s="1023"/>
      <c r="AC17" s="1023"/>
      <c r="AD17" s="1023"/>
      <c r="AE17" s="137"/>
      <c r="AF17" s="6"/>
    </row>
    <row r="18" spans="2:32" ht="15" customHeight="1" x14ac:dyDescent="0.2">
      <c r="B18" s="6"/>
      <c r="C18" s="137"/>
      <c r="D18" s="196" t="s">
        <v>138</v>
      </c>
      <c r="E18" s="197"/>
      <c r="F18" s="197"/>
      <c r="G18" s="198"/>
      <c r="H18" s="137"/>
      <c r="I18" s="1020">
        <f>Result_EquipmentCost_Y1</f>
        <v>0</v>
      </c>
      <c r="J18" s="1021"/>
      <c r="K18" s="1022"/>
      <c r="L18" s="1020">
        <f>Result_EquipmentCost_Y2</f>
        <v>0</v>
      </c>
      <c r="M18" s="1021"/>
      <c r="N18" s="1022"/>
      <c r="O18" s="1020">
        <f>Result_EquipmentCost_Y3</f>
        <v>0</v>
      </c>
      <c r="P18" s="1021"/>
      <c r="Q18" s="1022"/>
      <c r="R18" s="1020">
        <f>Result_EquipmentCost_Y4</f>
        <v>0</v>
      </c>
      <c r="S18" s="1021"/>
      <c r="T18" s="1022"/>
      <c r="U18" s="1020">
        <f>Result_EquipmentCost_Y5</f>
        <v>0</v>
      </c>
      <c r="V18" s="1021"/>
      <c r="W18" s="1022"/>
      <c r="X18" s="1020">
        <f>Result_EquipmentCost_Y6</f>
        <v>0</v>
      </c>
      <c r="Y18" s="1021"/>
      <c r="Z18" s="1022"/>
      <c r="AA18" s="137"/>
      <c r="AB18" s="1016">
        <f t="shared" si="0"/>
        <v>0</v>
      </c>
      <c r="AC18" s="1017"/>
      <c r="AD18" s="1018"/>
      <c r="AE18" s="137"/>
      <c r="AF18" s="6"/>
    </row>
    <row r="19" spans="2:32" ht="15" customHeight="1" x14ac:dyDescent="0.2">
      <c r="B19" s="6"/>
      <c r="C19" s="137"/>
      <c r="D19" s="193" t="s">
        <v>157</v>
      </c>
      <c r="E19" s="194"/>
      <c r="F19" s="194"/>
      <c r="G19" s="195"/>
      <c r="H19" s="137"/>
      <c r="I19" s="1020">
        <f>Result_TravelDomestic_Y1 + Result_TravelForeign_Y1</f>
        <v>0</v>
      </c>
      <c r="J19" s="1021"/>
      <c r="K19" s="1022"/>
      <c r="L19" s="1020">
        <f>Result_TravelDomestic_Y2 + Result_TravelForeign_Y2</f>
        <v>0</v>
      </c>
      <c r="M19" s="1021"/>
      <c r="N19" s="1022"/>
      <c r="O19" s="1020">
        <f>Result_TravelDomestic_Y3 + Result_TravelForeign_Y3</f>
        <v>0</v>
      </c>
      <c r="P19" s="1021"/>
      <c r="Q19" s="1022"/>
      <c r="R19" s="1020">
        <f>Result_TravelDomestic_Y4 + Result_TravelForeign_Y4</f>
        <v>0</v>
      </c>
      <c r="S19" s="1021"/>
      <c r="T19" s="1022"/>
      <c r="U19" s="1020">
        <f>Result_TravelDomestic_Y5 + Result_TravelForeign_Y5</f>
        <v>0</v>
      </c>
      <c r="V19" s="1021"/>
      <c r="W19" s="1022"/>
      <c r="X19" s="1020">
        <f>Result_TravelDomestic_Y6 + Result_TravelForeign_Y6</f>
        <v>0</v>
      </c>
      <c r="Y19" s="1021"/>
      <c r="Z19" s="1022"/>
      <c r="AA19" s="137"/>
      <c r="AB19" s="1016">
        <f t="shared" si="0"/>
        <v>0</v>
      </c>
      <c r="AC19" s="1017"/>
      <c r="AD19" s="1018"/>
      <c r="AE19" s="137"/>
      <c r="AF19" s="6"/>
    </row>
    <row r="20" spans="2:32" ht="15" customHeight="1" x14ac:dyDescent="0.2">
      <c r="B20" s="6"/>
      <c r="C20" s="137"/>
      <c r="D20" s="193" t="s">
        <v>158</v>
      </c>
      <c r="E20" s="194"/>
      <c r="F20" s="194"/>
      <c r="G20" s="195"/>
      <c r="H20" s="137"/>
      <c r="I20" s="1019"/>
      <c r="J20" s="1019"/>
      <c r="K20" s="1019"/>
      <c r="L20" s="1019"/>
      <c r="M20" s="1019"/>
      <c r="N20" s="1019"/>
      <c r="O20" s="1019"/>
      <c r="P20" s="1019"/>
      <c r="Q20" s="1019"/>
      <c r="R20" s="1019"/>
      <c r="S20" s="1019"/>
      <c r="T20" s="1019"/>
      <c r="U20" s="1019"/>
      <c r="V20" s="1019"/>
      <c r="W20" s="1019"/>
      <c r="X20" s="1019"/>
      <c r="Y20" s="1019"/>
      <c r="Z20" s="1019"/>
      <c r="AA20" s="137"/>
      <c r="AB20" s="1019"/>
      <c r="AC20" s="1019"/>
      <c r="AD20" s="1019"/>
      <c r="AE20" s="137"/>
      <c r="AF20" s="6"/>
    </row>
    <row r="21" spans="2:32" ht="15" customHeight="1" x14ac:dyDescent="0.2">
      <c r="B21" s="6"/>
      <c r="C21" s="137"/>
      <c r="D21" s="193"/>
      <c r="E21" s="194" t="s">
        <v>283</v>
      </c>
      <c r="F21" s="194"/>
      <c r="G21" s="195"/>
      <c r="H21" s="137"/>
      <c r="I21" s="1020">
        <f>Data_ParticipantStipends_Y1</f>
        <v>0</v>
      </c>
      <c r="J21" s="1021"/>
      <c r="K21" s="1022"/>
      <c r="L21" s="1020">
        <f>Data_ParticipantStipends_Y2</f>
        <v>0</v>
      </c>
      <c r="M21" s="1021"/>
      <c r="N21" s="1022"/>
      <c r="O21" s="1020">
        <f>Data_ParticipantStipends_Y3</f>
        <v>0</v>
      </c>
      <c r="P21" s="1021"/>
      <c r="Q21" s="1022"/>
      <c r="R21" s="1020">
        <f>Data_ParticipantStipends_Y4</f>
        <v>0</v>
      </c>
      <c r="S21" s="1021"/>
      <c r="T21" s="1022"/>
      <c r="U21" s="1020">
        <f>Data_ParticipantStipends_Y5</f>
        <v>0</v>
      </c>
      <c r="V21" s="1021"/>
      <c r="W21" s="1022"/>
      <c r="X21" s="1020">
        <f>Data_ParticipantStipends_Y6</f>
        <v>0</v>
      </c>
      <c r="Y21" s="1021"/>
      <c r="Z21" s="1022"/>
      <c r="AA21" s="137"/>
      <c r="AB21" s="1016">
        <f t="shared" si="0"/>
        <v>0</v>
      </c>
      <c r="AC21" s="1017"/>
      <c r="AD21" s="1018"/>
      <c r="AE21" s="137"/>
      <c r="AF21" s="6"/>
    </row>
    <row r="22" spans="2:32" ht="15" customHeight="1" x14ac:dyDescent="0.2">
      <c r="B22" s="6"/>
      <c r="C22" s="137"/>
      <c r="D22" s="193"/>
      <c r="E22" s="194" t="s">
        <v>288</v>
      </c>
      <c r="F22" s="194"/>
      <c r="G22" s="195"/>
      <c r="H22" s="137"/>
      <c r="I22" s="1020">
        <f>Data_ParticipantTravel_Y1</f>
        <v>0</v>
      </c>
      <c r="J22" s="1021"/>
      <c r="K22" s="1022"/>
      <c r="L22" s="1020">
        <f>Data_ParticipantTravel_Y2</f>
        <v>0</v>
      </c>
      <c r="M22" s="1021"/>
      <c r="N22" s="1022"/>
      <c r="O22" s="1020">
        <f>Data_ParticipantTravel_Y3</f>
        <v>0</v>
      </c>
      <c r="P22" s="1021"/>
      <c r="Q22" s="1022"/>
      <c r="R22" s="1020">
        <f>Data_ParticipantTravel_Y4</f>
        <v>0</v>
      </c>
      <c r="S22" s="1021"/>
      <c r="T22" s="1022"/>
      <c r="U22" s="1020">
        <f>Data_ParticipantTravel_Y5</f>
        <v>0</v>
      </c>
      <c r="V22" s="1021"/>
      <c r="W22" s="1022"/>
      <c r="X22" s="1020">
        <f>Data_ParticipantTravel_Y6</f>
        <v>0</v>
      </c>
      <c r="Y22" s="1021"/>
      <c r="Z22" s="1022"/>
      <c r="AA22" s="137"/>
      <c r="AB22" s="1016">
        <f t="shared" si="0"/>
        <v>0</v>
      </c>
      <c r="AC22" s="1017"/>
      <c r="AD22" s="1018"/>
      <c r="AE22" s="137"/>
      <c r="AF22" s="6"/>
    </row>
    <row r="23" spans="2:32" ht="15" customHeight="1" x14ac:dyDescent="0.2">
      <c r="B23" s="6"/>
      <c r="C23" s="137"/>
      <c r="D23" s="193"/>
      <c r="E23" s="194" t="s">
        <v>284</v>
      </c>
      <c r="F23" s="194"/>
      <c r="G23" s="195"/>
      <c r="H23" s="137"/>
      <c r="I23" s="1020">
        <f>Data_ParticipantSubsistence_Y1</f>
        <v>0</v>
      </c>
      <c r="J23" s="1021"/>
      <c r="K23" s="1022"/>
      <c r="L23" s="1020">
        <f>Data_ParticipantSubsistence_Y2</f>
        <v>0</v>
      </c>
      <c r="M23" s="1021"/>
      <c r="N23" s="1022"/>
      <c r="O23" s="1020">
        <f>Data_ParticipantSubsistence_Y3</f>
        <v>0</v>
      </c>
      <c r="P23" s="1021"/>
      <c r="Q23" s="1022"/>
      <c r="R23" s="1020">
        <f>Data_ParticipantSubsistence_Y4</f>
        <v>0</v>
      </c>
      <c r="S23" s="1021"/>
      <c r="T23" s="1022"/>
      <c r="U23" s="1020">
        <f>Data_ParticipantSubsistence_Y5</f>
        <v>0</v>
      </c>
      <c r="V23" s="1021"/>
      <c r="W23" s="1022"/>
      <c r="X23" s="1020">
        <f>Data_ParticipantSubsistence_Y6</f>
        <v>0</v>
      </c>
      <c r="Y23" s="1021"/>
      <c r="Z23" s="1022"/>
      <c r="AA23" s="137"/>
      <c r="AB23" s="1016">
        <f t="shared" si="0"/>
        <v>0</v>
      </c>
      <c r="AC23" s="1017"/>
      <c r="AD23" s="1018"/>
      <c r="AE23" s="137"/>
      <c r="AF23" s="6"/>
    </row>
    <row r="24" spans="2:32" ht="15" customHeight="1" x14ac:dyDescent="0.2">
      <c r="B24" s="6"/>
      <c r="C24" s="137"/>
      <c r="D24" s="193"/>
      <c r="E24" s="194" t="s">
        <v>16</v>
      </c>
      <c r="F24" s="194"/>
      <c r="G24" s="195"/>
      <c r="H24" s="137"/>
      <c r="I24" s="1020">
        <f>SUM(Data_ParticipantCostsOther_Y1)</f>
        <v>0</v>
      </c>
      <c r="J24" s="1021"/>
      <c r="K24" s="1022"/>
      <c r="L24" s="1020">
        <f>SUM(Data_ParticipantCostsOther_Y2)</f>
        <v>0</v>
      </c>
      <c r="M24" s="1021"/>
      <c r="N24" s="1022"/>
      <c r="O24" s="1020">
        <f>SUM(Data_ParticipantCostsOther_Y3)</f>
        <v>0</v>
      </c>
      <c r="P24" s="1021"/>
      <c r="Q24" s="1022"/>
      <c r="R24" s="1020">
        <f>SUM(Data_ParticipantCostsOther_Y4)</f>
        <v>0</v>
      </c>
      <c r="S24" s="1021"/>
      <c r="T24" s="1022"/>
      <c r="U24" s="1020">
        <f>SUM(Data_ParticipantCostsOther_Y5)</f>
        <v>0</v>
      </c>
      <c r="V24" s="1021"/>
      <c r="W24" s="1022"/>
      <c r="X24" s="1020">
        <f>SUM(Data_ParticipantCostsOther_Y6)</f>
        <v>0</v>
      </c>
      <c r="Y24" s="1021"/>
      <c r="Z24" s="1022"/>
      <c r="AA24" s="137"/>
      <c r="AB24" s="1016">
        <f t="shared" si="0"/>
        <v>0</v>
      </c>
      <c r="AC24" s="1017"/>
      <c r="AD24" s="1018"/>
      <c r="AE24" s="137"/>
      <c r="AF24" s="6"/>
    </row>
    <row r="25" spans="2:32" ht="15" customHeight="1" x14ac:dyDescent="0.2">
      <c r="B25" s="6"/>
      <c r="C25" s="137"/>
      <c r="D25" s="193" t="s">
        <v>171</v>
      </c>
      <c r="E25" s="194"/>
      <c r="F25" s="194"/>
      <c r="G25" s="195"/>
      <c r="H25" s="137"/>
      <c r="I25" s="1012">
        <f>Result_SubawardCosts_Y1</f>
        <v>0</v>
      </c>
      <c r="J25" s="1013"/>
      <c r="K25" s="1014"/>
      <c r="L25" s="1012">
        <f>Result_SubawardCosts_Y2</f>
        <v>0</v>
      </c>
      <c r="M25" s="1013"/>
      <c r="N25" s="1014"/>
      <c r="O25" s="1012">
        <f>Result_SubawardCosts_Y3</f>
        <v>0</v>
      </c>
      <c r="P25" s="1013"/>
      <c r="Q25" s="1014"/>
      <c r="R25" s="1012">
        <f>Result_SubawardCosts_Y4</f>
        <v>0</v>
      </c>
      <c r="S25" s="1013"/>
      <c r="T25" s="1014"/>
      <c r="U25" s="1012">
        <f>Result_SubawardCosts_Y5</f>
        <v>0</v>
      </c>
      <c r="V25" s="1013"/>
      <c r="W25" s="1014"/>
      <c r="X25" s="1012">
        <f>Result_SubawardCosts_Y6</f>
        <v>0</v>
      </c>
      <c r="Y25" s="1013"/>
      <c r="Z25" s="1014"/>
      <c r="AA25" s="137"/>
      <c r="AB25" s="1016">
        <f>SUM(I25:Z25)</f>
        <v>0</v>
      </c>
      <c r="AC25" s="1017"/>
      <c r="AD25" s="1018"/>
      <c r="AE25" s="137"/>
      <c r="AF25" s="6"/>
    </row>
    <row r="26" spans="2:32" ht="15" customHeight="1" x14ac:dyDescent="0.2">
      <c r="B26" s="6"/>
      <c r="C26" s="137"/>
      <c r="D26" s="193" t="s">
        <v>159</v>
      </c>
      <c r="E26" s="194"/>
      <c r="F26" s="194"/>
      <c r="G26" s="195"/>
      <c r="H26" s="137"/>
      <c r="I26" s="1019"/>
      <c r="J26" s="1019"/>
      <c r="K26" s="1019"/>
      <c r="L26" s="1019"/>
      <c r="M26" s="1019"/>
      <c r="N26" s="1019"/>
      <c r="O26" s="1019"/>
      <c r="P26" s="1019"/>
      <c r="Q26" s="1019"/>
      <c r="R26" s="1019"/>
      <c r="S26" s="1019"/>
      <c r="T26" s="1019"/>
      <c r="U26" s="1019"/>
      <c r="V26" s="1019"/>
      <c r="W26" s="1019"/>
      <c r="X26" s="1019"/>
      <c r="Y26" s="1019"/>
      <c r="Z26" s="1019"/>
      <c r="AA26" s="137"/>
      <c r="AB26" s="1023"/>
      <c r="AC26" s="1023"/>
      <c r="AD26" s="1023"/>
      <c r="AE26" s="137"/>
      <c r="AF26" s="6"/>
    </row>
    <row r="27" spans="2:32" ht="15" customHeight="1" x14ac:dyDescent="0.2">
      <c r="B27" s="6"/>
      <c r="C27" s="137"/>
      <c r="D27" s="193"/>
      <c r="E27" s="194" t="s">
        <v>289</v>
      </c>
      <c r="F27" s="194"/>
      <c r="G27" s="195"/>
      <c r="H27" s="137"/>
      <c r="I27" s="1012">
        <f>Data_DirectCostsMaterialsSupplies_Y1</f>
        <v>0</v>
      </c>
      <c r="J27" s="1013"/>
      <c r="K27" s="1014"/>
      <c r="L27" s="1012">
        <f>Data_DirectCostsMaterialsSupplies_Y2</f>
        <v>0</v>
      </c>
      <c r="M27" s="1013"/>
      <c r="N27" s="1014"/>
      <c r="O27" s="1012">
        <f>Data_DirectCostsMaterialsSupplies_Y3</f>
        <v>0</v>
      </c>
      <c r="P27" s="1013"/>
      <c r="Q27" s="1014"/>
      <c r="R27" s="1012">
        <f>Data_DirectCostsMaterialsSupplies_Y4</f>
        <v>0</v>
      </c>
      <c r="S27" s="1013"/>
      <c r="T27" s="1014"/>
      <c r="U27" s="1012">
        <f>Data_DirectCostsMaterialsSupplies_Y5</f>
        <v>0</v>
      </c>
      <c r="V27" s="1013"/>
      <c r="W27" s="1014"/>
      <c r="X27" s="1012">
        <f>Data_DirectCostsMaterialsSupplies_Y6</f>
        <v>0</v>
      </c>
      <c r="Y27" s="1013"/>
      <c r="Z27" s="1014"/>
      <c r="AA27" s="137"/>
      <c r="AB27" s="1016">
        <f t="shared" ref="AB27:AB32" si="1">SUM(I27:Z27)</f>
        <v>0</v>
      </c>
      <c r="AC27" s="1017"/>
      <c r="AD27" s="1018"/>
      <c r="AE27" s="137"/>
      <c r="AF27" s="6"/>
    </row>
    <row r="28" spans="2:32" ht="15" customHeight="1" x14ac:dyDescent="0.2">
      <c r="B28" s="6"/>
      <c r="C28" s="137"/>
      <c r="D28" s="193"/>
      <c r="E28" s="194" t="s">
        <v>149</v>
      </c>
      <c r="F28" s="194"/>
      <c r="G28" s="195"/>
      <c r="H28" s="137"/>
      <c r="I28" s="1012">
        <f>Data_DirectCostsPublications_Y1</f>
        <v>0</v>
      </c>
      <c r="J28" s="1013"/>
      <c r="K28" s="1014"/>
      <c r="L28" s="1012">
        <f>Data_DirectCostsPublications_Y2</f>
        <v>0</v>
      </c>
      <c r="M28" s="1013"/>
      <c r="N28" s="1014"/>
      <c r="O28" s="1012">
        <f>Data_DirectCostsPublications_Y3</f>
        <v>0</v>
      </c>
      <c r="P28" s="1013"/>
      <c r="Q28" s="1014"/>
      <c r="R28" s="1012">
        <f>Data_DirectCostsPublications_Y4</f>
        <v>0</v>
      </c>
      <c r="S28" s="1013"/>
      <c r="T28" s="1014"/>
      <c r="U28" s="1012">
        <f>Data_DirectCostsPublications_Y5</f>
        <v>0</v>
      </c>
      <c r="V28" s="1013"/>
      <c r="W28" s="1014"/>
      <c r="X28" s="1012">
        <f>Data_DirectCostsPublications_Y6</f>
        <v>0</v>
      </c>
      <c r="Y28" s="1013"/>
      <c r="Z28" s="1014"/>
      <c r="AA28" s="137"/>
      <c r="AB28" s="1016">
        <f t="shared" si="1"/>
        <v>0</v>
      </c>
      <c r="AC28" s="1017"/>
      <c r="AD28" s="1018"/>
      <c r="AE28" s="137"/>
      <c r="AF28" s="6"/>
    </row>
    <row r="29" spans="2:32" ht="15" customHeight="1" x14ac:dyDescent="0.2">
      <c r="B29" s="6"/>
      <c r="C29" s="137"/>
      <c r="D29" s="193"/>
      <c r="E29" s="194" t="s">
        <v>150</v>
      </c>
      <c r="F29" s="194"/>
      <c r="G29" s="195"/>
      <c r="H29" s="137"/>
      <c r="I29" s="1012">
        <f>Data_DirectCostsConsultants_Y1_1 + Data_DirectCostsConsultants_Y1_2 + Data_DirectCostsConsultants_Y1_3 + Data_DirectCostsConsultants_Y1_4</f>
        <v>0</v>
      </c>
      <c r="J29" s="1013"/>
      <c r="K29" s="1014"/>
      <c r="L29" s="1012">
        <f xml:space="preserve"> Data_DirectCostsConsultants_Y2_1 + Data_DirectCostsConsultants_Y2_2 + Data_DirectCostsConsultants_Y2_3 + Data_DirectCostsConsultants_Y2_4</f>
        <v>0</v>
      </c>
      <c r="M29" s="1013"/>
      <c r="N29" s="1014"/>
      <c r="O29" s="1012">
        <f>Data_DirectCostsConsultants_Y3_1 + Data_DirectCostsConsultants_Y3_2 + Data_DirectCostsConsultants_Y3_3 + Data_DirectCostsConsultants_Y3_4</f>
        <v>0</v>
      </c>
      <c r="P29" s="1013"/>
      <c r="Q29" s="1014"/>
      <c r="R29" s="1012">
        <f>Data_DirectCostsConsultants_Y4_1 + Data_DirectCostsConsultants_Y4_2 + Data_DirectCostsConsultants_Y4_3 + Data_DirectCostsConsultants_Y4_4</f>
        <v>0</v>
      </c>
      <c r="S29" s="1013"/>
      <c r="T29" s="1014"/>
      <c r="U29" s="1012">
        <f>Data_DirectCostsConsultants_Y5_1 + Data_DirectCostsConsultants_Y5_2 + Data_DirectCostsConsultants_Y5_3 + Data_DirectCostsConsultants_Y5_4</f>
        <v>0</v>
      </c>
      <c r="V29" s="1013"/>
      <c r="W29" s="1014"/>
      <c r="X29" s="1012">
        <f>Data_DirectCostsConsultants_Y6_1 + Data_DirectCostsConsultants_Y6_2 + Data_DirectCostsConsultants_Y6_3 + Data_DirectCostsConsultants_Y6_4</f>
        <v>0</v>
      </c>
      <c r="Y29" s="1013"/>
      <c r="Z29" s="1014"/>
      <c r="AA29" s="137"/>
      <c r="AB29" s="1016">
        <f t="shared" si="1"/>
        <v>0</v>
      </c>
      <c r="AC29" s="1017"/>
      <c r="AD29" s="1018"/>
      <c r="AE29" s="137"/>
      <c r="AF29" s="6"/>
    </row>
    <row r="30" spans="2:32" ht="15" customHeight="1" x14ac:dyDescent="0.2">
      <c r="B30" s="6"/>
      <c r="C30" s="137"/>
      <c r="D30" s="193"/>
      <c r="E30" s="194" t="s">
        <v>151</v>
      </c>
      <c r="F30" s="194"/>
      <c r="G30" s="195"/>
      <c r="H30" s="137"/>
      <c r="I30" s="1012">
        <f>Data_DirectCostsMaintenance_Y1</f>
        <v>0</v>
      </c>
      <c r="J30" s="1013"/>
      <c r="K30" s="1014"/>
      <c r="L30" s="1012">
        <f>Data_DirectCostsMaintenance_Y2</f>
        <v>0</v>
      </c>
      <c r="M30" s="1013"/>
      <c r="N30" s="1014"/>
      <c r="O30" s="1012">
        <f>Data_DirectCostsMaintenance_Y3</f>
        <v>0</v>
      </c>
      <c r="P30" s="1013"/>
      <c r="Q30" s="1014"/>
      <c r="R30" s="1012">
        <f>Data_DirectCostsMaintenance_Y4</f>
        <v>0</v>
      </c>
      <c r="S30" s="1013"/>
      <c r="T30" s="1014"/>
      <c r="U30" s="1012">
        <f>Data_DirectCostsMaintenance_Y5</f>
        <v>0</v>
      </c>
      <c r="V30" s="1013"/>
      <c r="W30" s="1014"/>
      <c r="X30" s="1012">
        <f>Data_DirectCostsMaintenance_Y6</f>
        <v>0</v>
      </c>
      <c r="Y30" s="1013"/>
      <c r="Z30" s="1014"/>
      <c r="AA30" s="137"/>
      <c r="AB30" s="1016">
        <f t="shared" si="1"/>
        <v>0</v>
      </c>
      <c r="AC30" s="1017"/>
      <c r="AD30" s="1018"/>
      <c r="AE30" s="137"/>
      <c r="AF30" s="6"/>
    </row>
    <row r="31" spans="2:32" ht="15" customHeight="1" x14ac:dyDescent="0.2">
      <c r="B31" s="6"/>
      <c r="C31" s="137"/>
      <c r="D31" s="193"/>
      <c r="E31" s="194" t="s">
        <v>118</v>
      </c>
      <c r="F31" s="194"/>
      <c r="G31" s="195"/>
      <c r="H31" s="137"/>
      <c r="I31" s="1012">
        <f>Result_TuitionTOTAL_Y1</f>
        <v>0</v>
      </c>
      <c r="J31" s="1013"/>
      <c r="K31" s="1014"/>
      <c r="L31" s="1012">
        <f>Result_TuitionTOTAL_Y2</f>
        <v>0</v>
      </c>
      <c r="M31" s="1013"/>
      <c r="N31" s="1014"/>
      <c r="O31" s="1012">
        <f>Result_TuitionTOTAL_Y3</f>
        <v>0</v>
      </c>
      <c r="P31" s="1013"/>
      <c r="Q31" s="1014"/>
      <c r="R31" s="1012">
        <f>Result_TuitionTOTAL_Y4</f>
        <v>0</v>
      </c>
      <c r="S31" s="1013"/>
      <c r="T31" s="1014"/>
      <c r="U31" s="1012">
        <f>Result_TuitionTOTAL_Y5</f>
        <v>0</v>
      </c>
      <c r="V31" s="1013"/>
      <c r="W31" s="1014"/>
      <c r="X31" s="1012">
        <f>Result_TuitionTOTAL_Y6</f>
        <v>0</v>
      </c>
      <c r="Y31" s="1013"/>
      <c r="Z31" s="1014"/>
      <c r="AA31" s="137"/>
      <c r="AB31" s="1016">
        <f t="shared" si="1"/>
        <v>0</v>
      </c>
      <c r="AC31" s="1017"/>
      <c r="AD31" s="1018"/>
      <c r="AE31" s="137"/>
      <c r="AF31" s="6"/>
    </row>
    <row r="32" spans="2:32" ht="15" customHeight="1" x14ac:dyDescent="0.2">
      <c r="B32" s="6"/>
      <c r="C32" s="137"/>
      <c r="D32" s="193"/>
      <c r="E32" s="194" t="s">
        <v>16</v>
      </c>
      <c r="F32" s="194"/>
      <c r="G32" s="195"/>
      <c r="H32" s="137"/>
      <c r="I32" s="1012">
        <f>SUM(Data_DirectCostsOther_Y1)</f>
        <v>0</v>
      </c>
      <c r="J32" s="1013"/>
      <c r="K32" s="1014"/>
      <c r="L32" s="1012">
        <f>SUM(Data_DirectCostsOther_Y2)</f>
        <v>0</v>
      </c>
      <c r="M32" s="1013"/>
      <c r="N32" s="1014"/>
      <c r="O32" s="1012">
        <f>SUM(Data_DirectCostsOther_Y3)</f>
        <v>0</v>
      </c>
      <c r="P32" s="1013"/>
      <c r="Q32" s="1014"/>
      <c r="R32" s="1012">
        <f>SUM(Data_DirectCostsOther_Y4)</f>
        <v>0</v>
      </c>
      <c r="S32" s="1013"/>
      <c r="T32" s="1014"/>
      <c r="U32" s="1012">
        <f>SUM(Data_DirectCostsOther_Y5)</f>
        <v>0</v>
      </c>
      <c r="V32" s="1013"/>
      <c r="W32" s="1014"/>
      <c r="X32" s="1012">
        <f>SUM(Data_DirectCostsOther_Y6)</f>
        <v>0</v>
      </c>
      <c r="Y32" s="1013"/>
      <c r="Z32" s="1014"/>
      <c r="AA32" s="137"/>
      <c r="AB32" s="1016">
        <f t="shared" si="1"/>
        <v>0</v>
      </c>
      <c r="AC32" s="1017"/>
      <c r="AD32" s="1018"/>
      <c r="AE32" s="137"/>
      <c r="AF32" s="6"/>
    </row>
    <row r="33" spans="2:32" ht="15" customHeight="1" x14ac:dyDescent="0.2">
      <c r="B33" s="6"/>
      <c r="C33" s="137"/>
      <c r="D33" s="193" t="s">
        <v>156</v>
      </c>
      <c r="E33" s="194"/>
      <c r="F33" s="194"/>
      <c r="G33" s="195"/>
      <c r="H33" s="137"/>
      <c r="I33" s="1012">
        <f>SUM(I18:K32)</f>
        <v>0</v>
      </c>
      <c r="J33" s="1013"/>
      <c r="K33" s="1014"/>
      <c r="L33" s="1012">
        <f>SUM(L18:N32)</f>
        <v>0</v>
      </c>
      <c r="M33" s="1013"/>
      <c r="N33" s="1014"/>
      <c r="O33" s="1012">
        <f>SUM(O18:Q32)</f>
        <v>0</v>
      </c>
      <c r="P33" s="1013"/>
      <c r="Q33" s="1014"/>
      <c r="R33" s="1012">
        <f>SUM(R18:T32)</f>
        <v>0</v>
      </c>
      <c r="S33" s="1013"/>
      <c r="T33" s="1014"/>
      <c r="U33" s="1012">
        <f>SUM(U18:W32)</f>
        <v>0</v>
      </c>
      <c r="V33" s="1013"/>
      <c r="W33" s="1014"/>
      <c r="X33" s="1012">
        <f>SUM(X18:Z32)</f>
        <v>0</v>
      </c>
      <c r="Y33" s="1013"/>
      <c r="Z33" s="1014"/>
      <c r="AA33" s="137"/>
      <c r="AB33" s="1016">
        <f>SUM(I33:Z33)</f>
        <v>0</v>
      </c>
      <c r="AC33" s="1017"/>
      <c r="AD33" s="1018"/>
      <c r="AE33" s="137"/>
      <c r="AF33" s="6"/>
    </row>
    <row r="34" spans="2:32" ht="15" customHeight="1" x14ac:dyDescent="0.2">
      <c r="B34" s="6"/>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6"/>
    </row>
    <row r="35" spans="2:32" ht="15" customHeight="1" x14ac:dyDescent="0.2">
      <c r="B35" s="6"/>
      <c r="C35" s="137"/>
      <c r="D35" s="199" t="s">
        <v>161</v>
      </c>
      <c r="E35" s="200"/>
      <c r="F35" s="200"/>
      <c r="G35" s="201"/>
      <c r="H35" s="137"/>
      <c r="I35" s="1024">
        <f>Result_TotalDirectCosts_Y1</f>
        <v>0</v>
      </c>
      <c r="J35" s="1025"/>
      <c r="K35" s="1026"/>
      <c r="L35" s="1024">
        <f>Result_TotalDirectCosts_Y2</f>
        <v>0</v>
      </c>
      <c r="M35" s="1025"/>
      <c r="N35" s="1026"/>
      <c r="O35" s="1024">
        <f>Result_TotalDirectCosts_Y3</f>
        <v>0</v>
      </c>
      <c r="P35" s="1025"/>
      <c r="Q35" s="1026"/>
      <c r="R35" s="1024">
        <f>Result_TotalDirectCosts_Y4</f>
        <v>0</v>
      </c>
      <c r="S35" s="1025"/>
      <c r="T35" s="1026"/>
      <c r="U35" s="1024">
        <f>Result_TotalDirectCosts_Y5</f>
        <v>0</v>
      </c>
      <c r="V35" s="1025"/>
      <c r="W35" s="1026"/>
      <c r="X35" s="1024">
        <f>Result_TotalDirectCosts_Y6</f>
        <v>0</v>
      </c>
      <c r="Y35" s="1025"/>
      <c r="Z35" s="1026"/>
      <c r="AA35" s="137"/>
      <c r="AB35" s="1030">
        <f>AB16+AB33</f>
        <v>0</v>
      </c>
      <c r="AC35" s="1031"/>
      <c r="AD35" s="1032"/>
      <c r="AE35" s="137"/>
      <c r="AF35" s="6"/>
    </row>
    <row r="36" spans="2:32" ht="15" customHeight="1" x14ac:dyDescent="0.2">
      <c r="B36" s="6"/>
      <c r="C36" s="137"/>
      <c r="D36" s="199" t="s">
        <v>337</v>
      </c>
      <c r="E36" s="200"/>
      <c r="F36" s="200"/>
      <c r="G36" s="201"/>
      <c r="H36" s="137"/>
      <c r="I36" s="1024">
        <f>Result_FACostBase_Y1</f>
        <v>0</v>
      </c>
      <c r="J36" s="1025"/>
      <c r="K36" s="1026"/>
      <c r="L36" s="1024">
        <f>Result_FACostBase_Y2</f>
        <v>0</v>
      </c>
      <c r="M36" s="1025"/>
      <c r="N36" s="1026"/>
      <c r="O36" s="1024">
        <f>Result_FACostBase_Y3</f>
        <v>0</v>
      </c>
      <c r="P36" s="1025"/>
      <c r="Q36" s="1026"/>
      <c r="R36" s="1024">
        <f>Result_FACostBase_Y4</f>
        <v>0</v>
      </c>
      <c r="S36" s="1025"/>
      <c r="T36" s="1026"/>
      <c r="U36" s="1024">
        <f>Result_FACostBase_Y5</f>
        <v>0</v>
      </c>
      <c r="V36" s="1025"/>
      <c r="W36" s="1026"/>
      <c r="X36" s="1024">
        <f>Result_FACostBase_Y6</f>
        <v>0</v>
      </c>
      <c r="Y36" s="1025"/>
      <c r="Z36" s="1026"/>
      <c r="AA36" s="137"/>
      <c r="AB36" s="1030">
        <f>SUM(I36:Z36)</f>
        <v>0</v>
      </c>
      <c r="AC36" s="1031"/>
      <c r="AD36" s="1032"/>
      <c r="AE36" s="137"/>
      <c r="AF36" s="6"/>
    </row>
    <row r="37" spans="2:32" ht="15" customHeight="1" x14ac:dyDescent="0.2">
      <c r="B37" s="6"/>
      <c r="C37" s="137"/>
      <c r="D37" s="199" t="s">
        <v>209</v>
      </c>
      <c r="E37" s="200"/>
      <c r="F37" s="200"/>
      <c r="G37" s="201"/>
      <c r="H37" s="137"/>
      <c r="I37" s="1024">
        <f>Result_IndirectCosts_Y1</f>
        <v>0</v>
      </c>
      <c r="J37" s="1025"/>
      <c r="K37" s="1026"/>
      <c r="L37" s="1024">
        <f>Result_IndirectCosts_Y2</f>
        <v>0</v>
      </c>
      <c r="M37" s="1025"/>
      <c r="N37" s="1026"/>
      <c r="O37" s="1024">
        <f>Result_IndirectCosts_Y3</f>
        <v>0</v>
      </c>
      <c r="P37" s="1025"/>
      <c r="Q37" s="1026"/>
      <c r="R37" s="1024">
        <f>Result_IndirectCosts_Y4</f>
        <v>0</v>
      </c>
      <c r="S37" s="1025"/>
      <c r="T37" s="1026"/>
      <c r="U37" s="1024">
        <f>Result_IndirectCosts_Y5</f>
        <v>0</v>
      </c>
      <c r="V37" s="1025"/>
      <c r="W37" s="1026"/>
      <c r="X37" s="1024">
        <f>Result_IndirectCosts_Y6</f>
        <v>0</v>
      </c>
      <c r="Y37" s="1025"/>
      <c r="Z37" s="1026"/>
      <c r="AA37" s="137"/>
      <c r="AB37" s="1030">
        <f>SUM(I37:Z37)</f>
        <v>0</v>
      </c>
      <c r="AC37" s="1031"/>
      <c r="AD37" s="1032"/>
      <c r="AE37" s="137"/>
      <c r="AF37" s="6"/>
    </row>
    <row r="38" spans="2:32" ht="20.25" customHeight="1" x14ac:dyDescent="0.2">
      <c r="B38" s="6"/>
      <c r="C38" s="137"/>
      <c r="D38" s="199" t="s">
        <v>290</v>
      </c>
      <c r="E38" s="200"/>
      <c r="F38" s="200"/>
      <c r="G38" s="201"/>
      <c r="H38" s="189"/>
      <c r="I38" s="1033">
        <f>I35+I37</f>
        <v>0</v>
      </c>
      <c r="J38" s="1034"/>
      <c r="K38" s="1035"/>
      <c r="L38" s="1033">
        <f>L35+L37</f>
        <v>0</v>
      </c>
      <c r="M38" s="1034"/>
      <c r="N38" s="1035"/>
      <c r="O38" s="1033">
        <f>O35+O37</f>
        <v>0</v>
      </c>
      <c r="P38" s="1034"/>
      <c r="Q38" s="1035"/>
      <c r="R38" s="1033">
        <f>R35+R37</f>
        <v>0</v>
      </c>
      <c r="S38" s="1034"/>
      <c r="T38" s="1035"/>
      <c r="U38" s="1033">
        <f>U35+U37</f>
        <v>0</v>
      </c>
      <c r="V38" s="1034"/>
      <c r="W38" s="1035"/>
      <c r="X38" s="1033">
        <f>X35+X37</f>
        <v>0</v>
      </c>
      <c r="Y38" s="1034"/>
      <c r="Z38" s="1035"/>
      <c r="AA38" s="189"/>
      <c r="AB38" s="1027">
        <f>AB35+AB37</f>
        <v>0</v>
      </c>
      <c r="AC38" s="1028"/>
      <c r="AD38" s="1029"/>
      <c r="AE38" s="137"/>
      <c r="AF38" s="6"/>
    </row>
    <row r="39" spans="2:32" ht="12.75" customHeight="1" x14ac:dyDescent="0.2">
      <c r="B39" s="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88"/>
      <c r="AC39" s="137"/>
      <c r="AD39" s="137"/>
      <c r="AE39" s="137"/>
      <c r="AF39" s="6"/>
    </row>
    <row r="40" spans="2:32" ht="7.5" customHeight="1" x14ac:dyDescent="0.2">
      <c r="B40" s="6"/>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6"/>
    </row>
    <row r="41" spans="2:32" ht="5.0999999999999996" customHeight="1" x14ac:dyDescent="0.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row>
  </sheetData>
  <sheetProtection algorithmName="SHA-512" hashValue="o4kPEkBcjtWHpmQ0jAfTek5+sWohlAdsik7Vt8dyawn4bLMj4gGK2zeemOutjhAByyrok3SOqriq9OnEgzb+rA==" saltValue="XM6Ucq0QPyS7UCDUZcBOqQ==" spinCount="100000" sheet="1" selectLockedCells="1" selectUnlockedCells="1"/>
  <mergeCells count="197">
    <mergeCell ref="X24:Z24"/>
    <mergeCell ref="U4:AD4"/>
    <mergeCell ref="U5:AD6"/>
    <mergeCell ref="AB36:AD36"/>
    <mergeCell ref="I36:K36"/>
    <mergeCell ref="L36:N36"/>
    <mergeCell ref="O36:Q36"/>
    <mergeCell ref="R36:T36"/>
    <mergeCell ref="U36:W36"/>
    <mergeCell ref="X36:Z36"/>
    <mergeCell ref="X23:Z23"/>
    <mergeCell ref="AB24:AD24"/>
    <mergeCell ref="AB12:AD12"/>
    <mergeCell ref="AB13:AD13"/>
    <mergeCell ref="AB14:AD14"/>
    <mergeCell ref="U21:W21"/>
    <mergeCell ref="X21:Z21"/>
    <mergeCell ref="I22:K22"/>
    <mergeCell ref="AB33:AD33"/>
    <mergeCell ref="AB35:AD35"/>
    <mergeCell ref="AB25:AD25"/>
    <mergeCell ref="AB26:AD26"/>
    <mergeCell ref="AB27:AD27"/>
    <mergeCell ref="AB28:AD28"/>
    <mergeCell ref="AB29:AD29"/>
    <mergeCell ref="AB30:AD30"/>
    <mergeCell ref="AB31:AD31"/>
    <mergeCell ref="AB32:AD32"/>
    <mergeCell ref="L22:N22"/>
    <mergeCell ref="O22:Q22"/>
    <mergeCell ref="R22:T22"/>
    <mergeCell ref="U22:W22"/>
    <mergeCell ref="X22:Z22"/>
    <mergeCell ref="R28:T28"/>
    <mergeCell ref="U28:W28"/>
    <mergeCell ref="X28:Z28"/>
    <mergeCell ref="O29:Q29"/>
    <mergeCell ref="R29:T29"/>
    <mergeCell ref="U29:W29"/>
    <mergeCell ref="X29:Z29"/>
    <mergeCell ref="O28:Q28"/>
    <mergeCell ref="U26:W26"/>
    <mergeCell ref="X26:Z26"/>
    <mergeCell ref="O27:Q27"/>
    <mergeCell ref="R27:T27"/>
    <mergeCell ref="U27:W27"/>
    <mergeCell ref="X27:Z27"/>
    <mergeCell ref="U31:W31"/>
    <mergeCell ref="I23:K23"/>
    <mergeCell ref="L23:N23"/>
    <mergeCell ref="I18:K18"/>
    <mergeCell ref="L18:N18"/>
    <mergeCell ref="O18:Q18"/>
    <mergeCell ref="R18:T18"/>
    <mergeCell ref="U18:W18"/>
    <mergeCell ref="X18:Z18"/>
    <mergeCell ref="I16:K16"/>
    <mergeCell ref="L16:N16"/>
    <mergeCell ref="U16:W16"/>
    <mergeCell ref="AB38:AD38"/>
    <mergeCell ref="I35:K35"/>
    <mergeCell ref="L35:N35"/>
    <mergeCell ref="AB37:AD37"/>
    <mergeCell ref="I37:K37"/>
    <mergeCell ref="L37:N37"/>
    <mergeCell ref="O37:Q37"/>
    <mergeCell ref="R37:T37"/>
    <mergeCell ref="U37:W37"/>
    <mergeCell ref="X37:Z37"/>
    <mergeCell ref="I38:K38"/>
    <mergeCell ref="L38:N38"/>
    <mergeCell ref="O38:Q38"/>
    <mergeCell ref="R38:T38"/>
    <mergeCell ref="U38:W38"/>
    <mergeCell ref="X38:Z38"/>
    <mergeCell ref="I25:K25"/>
    <mergeCell ref="L25:N25"/>
    <mergeCell ref="O25:Q25"/>
    <mergeCell ref="R25:T25"/>
    <mergeCell ref="U25:W25"/>
    <mergeCell ref="X25:Z25"/>
    <mergeCell ref="I26:K26"/>
    <mergeCell ref="I27:K27"/>
    <mergeCell ref="I19:K19"/>
    <mergeCell ref="L19:N19"/>
    <mergeCell ref="O19:Q19"/>
    <mergeCell ref="R19:T19"/>
    <mergeCell ref="O26:Q26"/>
    <mergeCell ref="R26:T26"/>
    <mergeCell ref="I21:K21"/>
    <mergeCell ref="L21:N21"/>
    <mergeCell ref="O23:Q23"/>
    <mergeCell ref="R23:T23"/>
    <mergeCell ref="U23:W23"/>
    <mergeCell ref="I24:K24"/>
    <mergeCell ref="L24:N24"/>
    <mergeCell ref="O24:Q24"/>
    <mergeCell ref="R24:T24"/>
    <mergeCell ref="U24:W24"/>
    <mergeCell ref="I28:K28"/>
    <mergeCell ref="I29:K29"/>
    <mergeCell ref="I30:K30"/>
    <mergeCell ref="I31:K31"/>
    <mergeCell ref="I32:K32"/>
    <mergeCell ref="L26:N26"/>
    <mergeCell ref="L27:N27"/>
    <mergeCell ref="L28:N28"/>
    <mergeCell ref="L29:N29"/>
    <mergeCell ref="L30:N30"/>
    <mergeCell ref="L31:N31"/>
    <mergeCell ref="X31:Z31"/>
    <mergeCell ref="R31:T31"/>
    <mergeCell ref="O35:Q35"/>
    <mergeCell ref="R35:T35"/>
    <mergeCell ref="U35:W35"/>
    <mergeCell ref="X35:Z35"/>
    <mergeCell ref="O30:Q30"/>
    <mergeCell ref="R30:T30"/>
    <mergeCell ref="U30:W30"/>
    <mergeCell ref="X30:Z30"/>
    <mergeCell ref="O31:Q31"/>
    <mergeCell ref="AB22:AD22"/>
    <mergeCell ref="AB23:AD23"/>
    <mergeCell ref="X19:Z19"/>
    <mergeCell ref="I20:K20"/>
    <mergeCell ref="O21:Q21"/>
    <mergeCell ref="R21:T21"/>
    <mergeCell ref="X16:Z16"/>
    <mergeCell ref="I33:K33"/>
    <mergeCell ref="L33:N33"/>
    <mergeCell ref="O33:Q33"/>
    <mergeCell ref="R33:T33"/>
    <mergeCell ref="U33:W33"/>
    <mergeCell ref="X33:Z33"/>
    <mergeCell ref="AB16:AD16"/>
    <mergeCell ref="AB17:AD17"/>
    <mergeCell ref="AB18:AD18"/>
    <mergeCell ref="AB19:AD19"/>
    <mergeCell ref="AB20:AD20"/>
    <mergeCell ref="AB21:AD21"/>
    <mergeCell ref="L32:N32"/>
    <mergeCell ref="O32:Q32"/>
    <mergeCell ref="R32:T32"/>
    <mergeCell ref="U32:W32"/>
    <mergeCell ref="X32:Z32"/>
    <mergeCell ref="AB11:AD11"/>
    <mergeCell ref="AB15:AD15"/>
    <mergeCell ref="L20:N20"/>
    <mergeCell ref="O20:Q20"/>
    <mergeCell ref="R20:T20"/>
    <mergeCell ref="U20:W20"/>
    <mergeCell ref="U19:W19"/>
    <mergeCell ref="O16:Q16"/>
    <mergeCell ref="R16:T16"/>
    <mergeCell ref="X20:Z20"/>
    <mergeCell ref="L15:N15"/>
    <mergeCell ref="L14:N14"/>
    <mergeCell ref="O14:Q14"/>
    <mergeCell ref="R14:T14"/>
    <mergeCell ref="U14:W14"/>
    <mergeCell ref="X14:Z14"/>
    <mergeCell ref="L12:N12"/>
    <mergeCell ref="O12:Q12"/>
    <mergeCell ref="R12:T12"/>
    <mergeCell ref="U12:W12"/>
    <mergeCell ref="X12:Z12"/>
    <mergeCell ref="L13:N13"/>
    <mergeCell ref="O13:Q13"/>
    <mergeCell ref="R13:T13"/>
    <mergeCell ref="I11:K11"/>
    <mergeCell ref="L11:N11"/>
    <mergeCell ref="O11:Q11"/>
    <mergeCell ref="R11:T11"/>
    <mergeCell ref="U11:W11"/>
    <mergeCell ref="X11:Z11"/>
    <mergeCell ref="O15:Q15"/>
    <mergeCell ref="R15:T15"/>
    <mergeCell ref="U15:W15"/>
    <mergeCell ref="X15:Z15"/>
    <mergeCell ref="I15:K15"/>
    <mergeCell ref="I14:K14"/>
    <mergeCell ref="I12:K12"/>
    <mergeCell ref="I13:K13"/>
    <mergeCell ref="U13:W13"/>
    <mergeCell ref="X13:Z13"/>
    <mergeCell ref="AC3:AD3"/>
    <mergeCell ref="C7:AE7"/>
    <mergeCell ref="I8:K9"/>
    <mergeCell ref="L8:N9"/>
    <mergeCell ref="O8:Q9"/>
    <mergeCell ref="R8:T9"/>
    <mergeCell ref="U8:W9"/>
    <mergeCell ref="M4:T4"/>
    <mergeCell ref="M5:T5"/>
    <mergeCell ref="M6:T6"/>
    <mergeCell ref="X8:Z9"/>
    <mergeCell ref="AB8:AD9"/>
  </mergeCells>
  <conditionalFormatting sqref="U4:U5">
    <cfRule type="cellIs" dxfId="26" priority="2" stopIfTrue="1" operator="equal">
      <formula>0</formula>
    </cfRule>
  </conditionalFormatting>
  <conditionalFormatting sqref="G6">
    <cfRule type="cellIs" dxfId="25" priority="1" stopIfTrue="1" operator="lessThanOrEqual">
      <formula>0</formula>
    </cfRule>
  </conditionalFormatting>
  <printOptions horizontalCentered="1" verticalCentered="1"/>
  <pageMargins left="0.7" right="0.7" top="0.75" bottom="0.75" header="0.3" footer="0.3"/>
  <pageSetup scale="75"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B2:W66"/>
  <sheetViews>
    <sheetView showGridLines="0" showRowColHeaders="0" topLeftCell="B1" zoomScaleNormal="100" workbookViewId="0">
      <selection activeCell="I17" sqref="I17"/>
    </sheetView>
  </sheetViews>
  <sheetFormatPr defaultColWidth="9.28515625" defaultRowHeight="12.75" x14ac:dyDescent="0.2"/>
  <cols>
    <col min="1" max="1" width="2.42578125" customWidth="1"/>
    <col min="2" max="2" width="0.7109375" customWidth="1"/>
    <col min="3" max="3" width="2.42578125" customWidth="1"/>
    <col min="4" max="4" width="2.28515625" customWidth="1"/>
    <col min="5" max="6" width="10.7109375" customWidth="1"/>
    <col min="7" max="7" width="12.28515625" customWidth="1"/>
    <col min="8" max="8" width="3.7109375" customWidth="1"/>
    <col min="9" max="9" width="14.7109375" customWidth="1"/>
    <col min="10" max="10" width="2.7109375" customWidth="1"/>
    <col min="11" max="11" width="14.7109375" customWidth="1"/>
    <col min="12" max="12" width="2.7109375" customWidth="1"/>
    <col min="13" max="13" width="14.7109375" customWidth="1"/>
    <col min="14" max="14" width="2.7109375" customWidth="1"/>
    <col min="15" max="15" width="14.7109375" customWidth="1"/>
    <col min="16" max="16" width="2.7109375" customWidth="1"/>
    <col min="17" max="17" width="14.7109375" customWidth="1"/>
    <col min="18" max="18" width="2.7109375" customWidth="1"/>
    <col min="19" max="19" width="14.7109375" customWidth="1"/>
    <col min="20" max="21" width="2.7109375" customWidth="1"/>
    <col min="22" max="23" width="0.7109375" customWidth="1"/>
    <col min="26" max="26" width="14.42578125" bestFit="1" customWidth="1"/>
  </cols>
  <sheetData>
    <row r="2" spans="2:23" ht="5.0999999999999996" customHeight="1" thickBot="1" x14ac:dyDescent="0.25">
      <c r="B2" s="1"/>
      <c r="C2" s="2"/>
      <c r="D2" s="2"/>
      <c r="E2" s="2"/>
      <c r="F2" s="2"/>
      <c r="G2" s="2"/>
      <c r="H2" s="2"/>
      <c r="I2" s="2"/>
      <c r="J2" s="2"/>
      <c r="K2" s="2"/>
      <c r="L2" s="2"/>
      <c r="M2" s="2"/>
      <c r="N2" s="2"/>
      <c r="O2" s="2"/>
      <c r="P2" s="2"/>
      <c r="Q2" s="2"/>
      <c r="R2" s="2"/>
      <c r="S2" s="2"/>
      <c r="T2" s="2"/>
      <c r="U2" s="2"/>
      <c r="V2" s="2"/>
      <c r="W2" s="3"/>
    </row>
    <row r="3" spans="2:23" x14ac:dyDescent="0.2">
      <c r="B3" s="4"/>
      <c r="C3" s="203"/>
      <c r="D3" s="204"/>
      <c r="E3" s="204"/>
      <c r="F3" s="204"/>
      <c r="G3" s="204"/>
      <c r="H3" s="204"/>
      <c r="I3" s="204"/>
      <c r="J3" s="204"/>
      <c r="K3" s="204"/>
      <c r="L3" s="204"/>
      <c r="M3" s="204"/>
      <c r="N3" s="204"/>
      <c r="O3" s="204"/>
      <c r="P3" s="214"/>
      <c r="Q3" s="241"/>
      <c r="R3" s="241" t="str">
        <f>'Project Data'!R3</f>
        <v xml:space="preserve">OSP Budget Revision Date: </v>
      </c>
      <c r="S3" s="242">
        <f>Var_SpreadsheetRevisionDate</f>
        <v>44910</v>
      </c>
      <c r="T3" s="226"/>
      <c r="U3" s="226"/>
      <c r="V3" s="227"/>
      <c r="W3" s="5"/>
    </row>
    <row r="4" spans="2:23" x14ac:dyDescent="0.2">
      <c r="B4" s="4"/>
      <c r="C4" s="185"/>
      <c r="D4" s="186"/>
      <c r="E4" s="186"/>
      <c r="F4" s="186"/>
      <c r="G4" s="186"/>
      <c r="H4" s="186"/>
      <c r="I4" s="186"/>
      <c r="J4" s="186"/>
      <c r="K4" s="186" t="s">
        <v>0</v>
      </c>
      <c r="L4" s="186"/>
      <c r="M4" s="186"/>
      <c r="N4" s="1077">
        <f>Data_PIName</f>
        <v>0</v>
      </c>
      <c r="O4" s="1077"/>
      <c r="P4" s="1077"/>
      <c r="Q4" s="1077"/>
      <c r="R4" s="1077"/>
      <c r="S4" s="1077"/>
      <c r="T4" s="1077"/>
      <c r="U4" s="186"/>
      <c r="V4" s="187"/>
      <c r="W4" s="5"/>
    </row>
    <row r="5" spans="2:23" x14ac:dyDescent="0.2">
      <c r="B5" s="4"/>
      <c r="C5" s="185"/>
      <c r="D5" s="186"/>
      <c r="E5" s="186"/>
      <c r="F5" s="186"/>
      <c r="G5" s="186"/>
      <c r="H5" s="186"/>
      <c r="I5" s="186"/>
      <c r="J5" s="186"/>
      <c r="K5" s="186" t="s">
        <v>477</v>
      </c>
      <c r="L5" s="186"/>
      <c r="M5" s="186"/>
      <c r="N5" s="610">
        <f>Data_ProjectTitle</f>
        <v>0</v>
      </c>
      <c r="O5" s="610"/>
      <c r="P5" s="610"/>
      <c r="Q5" s="610"/>
      <c r="R5" s="610"/>
      <c r="S5" s="610"/>
      <c r="T5" s="610"/>
      <c r="U5" s="610"/>
      <c r="V5" s="187"/>
      <c r="W5" s="5"/>
    </row>
    <row r="6" spans="2:23" x14ac:dyDescent="0.2">
      <c r="B6" s="4"/>
      <c r="C6" s="185"/>
      <c r="D6" s="186"/>
      <c r="E6" s="240" t="s">
        <v>442</v>
      </c>
      <c r="F6" s="239">
        <f>IF(Data_ProjectStartDate&gt;=Var_EarliestProjectStartDate,TEXT(Data_ProjectStartDate," mmmm d, yyyy") &amp; " - " &amp; IF(Data_ProjectEndDate&gt;Data_ProjectStartDate,TEXT(Data_ProjectEndDate," mmmm d, yyyy"),""),0)</f>
        <v>0</v>
      </c>
      <c r="G6" s="186"/>
      <c r="H6" s="186"/>
      <c r="I6" s="186"/>
      <c r="J6" s="186"/>
      <c r="K6" s="186" t="s">
        <v>343</v>
      </c>
      <c r="L6" s="186"/>
      <c r="M6" s="186"/>
      <c r="N6" s="610"/>
      <c r="O6" s="610"/>
      <c r="P6" s="610"/>
      <c r="Q6" s="610"/>
      <c r="R6" s="610"/>
      <c r="S6" s="610"/>
      <c r="T6" s="610"/>
      <c r="U6" s="610"/>
      <c r="V6" s="187"/>
      <c r="W6" s="5"/>
    </row>
    <row r="7" spans="2:23" ht="13.5" thickBot="1" x14ac:dyDescent="0.25">
      <c r="B7" s="4"/>
      <c r="C7" s="995"/>
      <c r="D7" s="996"/>
      <c r="E7" s="996"/>
      <c r="F7" s="996"/>
      <c r="G7" s="996"/>
      <c r="H7" s="996"/>
      <c r="I7" s="996"/>
      <c r="J7" s="996"/>
      <c r="K7" s="996"/>
      <c r="L7" s="996"/>
      <c r="M7" s="996"/>
      <c r="N7" s="996"/>
      <c r="O7" s="996"/>
      <c r="P7" s="996"/>
      <c r="Q7" s="996"/>
      <c r="R7" s="996"/>
      <c r="S7" s="996"/>
      <c r="T7" s="996"/>
      <c r="U7" s="996"/>
      <c r="V7" s="997"/>
      <c r="W7" s="5"/>
    </row>
    <row r="8" spans="2:23" x14ac:dyDescent="0.2">
      <c r="B8" s="6"/>
      <c r="C8" s="137"/>
      <c r="D8" s="137"/>
      <c r="E8" s="137"/>
      <c r="F8" s="137"/>
      <c r="G8" s="137"/>
      <c r="H8" s="137"/>
      <c r="I8" s="137"/>
      <c r="J8" s="137"/>
      <c r="K8" s="137"/>
      <c r="L8" s="137"/>
      <c r="M8" s="137"/>
      <c r="N8" s="137"/>
      <c r="O8" s="137"/>
      <c r="P8" s="137"/>
      <c r="Q8" s="137"/>
      <c r="R8" s="137"/>
      <c r="S8" s="137"/>
      <c r="T8" s="137"/>
      <c r="U8" s="137"/>
      <c r="V8" s="137"/>
      <c r="W8" s="6"/>
    </row>
    <row r="9" spans="2:23" x14ac:dyDescent="0.2">
      <c r="B9" s="6"/>
      <c r="C9" s="137"/>
      <c r="D9" s="137"/>
      <c r="E9" s="137"/>
      <c r="F9" s="137"/>
      <c r="G9" s="137"/>
      <c r="H9" s="137"/>
      <c r="I9" s="137"/>
      <c r="J9" s="137"/>
      <c r="K9" s="137"/>
      <c r="L9" s="137"/>
      <c r="M9" s="137"/>
      <c r="N9" s="137"/>
      <c r="O9" s="137"/>
      <c r="P9" s="137"/>
      <c r="Q9" s="137"/>
      <c r="R9" s="137"/>
      <c r="S9" s="137"/>
      <c r="T9" s="137"/>
      <c r="U9" s="137"/>
      <c r="V9" s="137"/>
      <c r="W9" s="6"/>
    </row>
    <row r="10" spans="2:23" x14ac:dyDescent="0.2">
      <c r="B10" s="6"/>
      <c r="C10" s="137"/>
      <c r="D10" s="137"/>
      <c r="E10" s="137"/>
      <c r="F10" s="137"/>
      <c r="G10" s="137"/>
      <c r="H10" s="137"/>
      <c r="I10" s="215" t="s">
        <v>53</v>
      </c>
      <c r="J10" s="216"/>
      <c r="K10" s="215" t="s">
        <v>54</v>
      </c>
      <c r="L10" s="216"/>
      <c r="M10" s="215" t="s">
        <v>55</v>
      </c>
      <c r="N10" s="216"/>
      <c r="O10" s="215" t="s">
        <v>56</v>
      </c>
      <c r="P10" s="216"/>
      <c r="Q10" s="215" t="s">
        <v>57</v>
      </c>
      <c r="R10" s="216"/>
      <c r="S10" s="215" t="s">
        <v>175</v>
      </c>
      <c r="T10" s="137"/>
      <c r="U10" s="137"/>
      <c r="V10" s="137"/>
      <c r="W10" s="6"/>
    </row>
    <row r="11" spans="2:23" x14ac:dyDescent="0.2">
      <c r="B11" s="6"/>
      <c r="C11" s="137"/>
      <c r="D11" s="142" t="s">
        <v>344</v>
      </c>
      <c r="E11" s="137"/>
      <c r="F11" s="137"/>
      <c r="G11" s="137"/>
      <c r="H11" s="137"/>
      <c r="I11" s="142"/>
      <c r="J11" s="142"/>
      <c r="K11" s="142"/>
      <c r="L11" s="142"/>
      <c r="M11" s="142"/>
      <c r="N11" s="142"/>
      <c r="O11" s="142"/>
      <c r="P11" s="142"/>
      <c r="Q11" s="142"/>
      <c r="R11" s="142"/>
      <c r="S11" s="142"/>
      <c r="T11" s="137"/>
      <c r="U11" s="137"/>
      <c r="V11" s="137"/>
      <c r="W11" s="6"/>
    </row>
    <row r="12" spans="2:23" x14ac:dyDescent="0.2">
      <c r="B12" s="6"/>
      <c r="C12" s="137"/>
      <c r="D12" s="137"/>
      <c r="E12" s="137" t="s">
        <v>356</v>
      </c>
      <c r="F12" s="137"/>
      <c r="G12" s="137"/>
      <c r="H12" s="137"/>
      <c r="I12" s="250">
        <f>Result_TotalDirectCosts_Y1</f>
        <v>0</v>
      </c>
      <c r="J12" s="137"/>
      <c r="K12" s="250">
        <f>Result_TotalDirectCosts_Y2</f>
        <v>0</v>
      </c>
      <c r="L12" s="137"/>
      <c r="M12" s="250">
        <f>Result_TotalDirectCosts_Y3</f>
        <v>0</v>
      </c>
      <c r="N12" s="137"/>
      <c r="O12" s="250">
        <f>Result_TotalDirectCosts_Y4</f>
        <v>0</v>
      </c>
      <c r="P12" s="137"/>
      <c r="Q12" s="250">
        <f>Result_TotalDirectCosts_Y5</f>
        <v>0</v>
      </c>
      <c r="R12" s="137"/>
      <c r="S12" s="250">
        <f>SUM(I12,K12,M12,O12,Q12)</f>
        <v>0</v>
      </c>
      <c r="T12" s="137"/>
      <c r="U12" s="137"/>
      <c r="V12" s="137"/>
      <c r="W12" s="6"/>
    </row>
    <row r="13" spans="2:23" x14ac:dyDescent="0.2">
      <c r="B13" s="6"/>
      <c r="C13" s="137"/>
      <c r="D13" s="137"/>
      <c r="E13" s="137" t="s">
        <v>357</v>
      </c>
      <c r="F13" s="137"/>
      <c r="G13" s="137"/>
      <c r="H13" s="137"/>
      <c r="I13" s="251">
        <f>SUM(M31:M40)</f>
        <v>0</v>
      </c>
      <c r="J13" s="137"/>
      <c r="K13" s="251">
        <f>SUM(R31:S40)</f>
        <v>0</v>
      </c>
      <c r="L13" s="137"/>
      <c r="M13" s="251">
        <f>SUM(M44:M53)</f>
        <v>0</v>
      </c>
      <c r="N13" s="137"/>
      <c r="O13" s="251">
        <f>SUM(R44:S53)</f>
        <v>0</v>
      </c>
      <c r="P13" s="137"/>
      <c r="Q13" s="251">
        <f>SUM(M57:M66)</f>
        <v>0</v>
      </c>
      <c r="R13" s="137"/>
      <c r="S13" s="251">
        <f>SUM(I13,K13,M13,O13,Q13)</f>
        <v>0</v>
      </c>
      <c r="T13" s="137"/>
      <c r="U13" s="137"/>
      <c r="V13" s="137"/>
      <c r="W13" s="6"/>
    </row>
    <row r="14" spans="2:23" x14ac:dyDescent="0.2">
      <c r="B14" s="6"/>
      <c r="C14" s="137"/>
      <c r="D14" s="137"/>
      <c r="E14" s="137" t="s">
        <v>358</v>
      </c>
      <c r="F14" s="137"/>
      <c r="G14" s="137"/>
      <c r="H14" s="137"/>
      <c r="I14" s="250">
        <f>I12-I13</f>
        <v>0</v>
      </c>
      <c r="J14" s="137"/>
      <c r="K14" s="250">
        <f>K12-K13</f>
        <v>0</v>
      </c>
      <c r="L14" s="137"/>
      <c r="M14" s="250">
        <f>M12-M13</f>
        <v>0</v>
      </c>
      <c r="N14" s="137"/>
      <c r="O14" s="250">
        <f>O12-O13</f>
        <v>0</v>
      </c>
      <c r="P14" s="137"/>
      <c r="Q14" s="250">
        <f>Q12-Q13</f>
        <v>0</v>
      </c>
      <c r="R14" s="137"/>
      <c r="S14" s="250">
        <f>SUM(I14,K14,M14,O14,Q14)</f>
        <v>0</v>
      </c>
      <c r="T14" s="137"/>
      <c r="U14" s="137"/>
      <c r="V14" s="137"/>
      <c r="W14" s="6"/>
    </row>
    <row r="15" spans="2:23" x14ac:dyDescent="0.2">
      <c r="B15" s="6"/>
      <c r="C15" s="137"/>
      <c r="D15" s="137"/>
      <c r="E15" s="137"/>
      <c r="F15" s="137"/>
      <c r="G15" s="137"/>
      <c r="H15" s="137"/>
      <c r="I15" s="137"/>
      <c r="J15" s="137"/>
      <c r="K15" s="137"/>
      <c r="L15" s="137"/>
      <c r="M15" s="137"/>
      <c r="N15" s="137"/>
      <c r="O15" s="137"/>
      <c r="P15" s="137"/>
      <c r="Q15" s="137"/>
      <c r="R15" s="137"/>
      <c r="S15" s="137"/>
      <c r="T15" s="137"/>
      <c r="U15" s="137"/>
      <c r="V15" s="137"/>
      <c r="W15" s="6"/>
    </row>
    <row r="16" spans="2:23" x14ac:dyDescent="0.2">
      <c r="B16" s="6"/>
      <c r="C16" s="137"/>
      <c r="D16" s="142" t="s">
        <v>345</v>
      </c>
      <c r="E16" s="137"/>
      <c r="F16" s="137"/>
      <c r="G16" s="137"/>
      <c r="H16" s="137"/>
      <c r="I16" s="1069" t="s">
        <v>369</v>
      </c>
      <c r="J16" s="1069"/>
      <c r="K16" s="1069"/>
      <c r="L16" s="1069"/>
      <c r="M16" s="1069"/>
      <c r="N16" s="1069"/>
      <c r="O16" s="1069"/>
      <c r="P16" s="1069"/>
      <c r="Q16" s="1069"/>
      <c r="R16" s="137"/>
      <c r="S16" s="137"/>
      <c r="T16" s="137"/>
      <c r="U16" s="137"/>
      <c r="V16" s="137"/>
      <c r="W16" s="6"/>
    </row>
    <row r="17" spans="2:23" x14ac:dyDescent="0.2">
      <c r="B17" s="6"/>
      <c r="C17" s="137"/>
      <c r="D17" s="137"/>
      <c r="E17" s="137" t="s">
        <v>359</v>
      </c>
      <c r="F17" s="137"/>
      <c r="G17" s="137"/>
      <c r="H17" s="137"/>
      <c r="I17" s="217">
        <v>1</v>
      </c>
      <c r="J17" s="137"/>
      <c r="K17" s="84">
        <v>1</v>
      </c>
      <c r="L17" s="137"/>
      <c r="M17" s="213">
        <v>1</v>
      </c>
      <c r="N17" s="137"/>
      <c r="O17" s="213">
        <v>1</v>
      </c>
      <c r="P17" s="137"/>
      <c r="Q17" s="213">
        <v>1</v>
      </c>
      <c r="R17" s="137"/>
      <c r="S17" s="137"/>
      <c r="T17" s="137"/>
      <c r="U17" s="137"/>
      <c r="V17" s="137"/>
      <c r="W17" s="6"/>
    </row>
    <row r="18" spans="2:23" x14ac:dyDescent="0.2">
      <c r="B18" s="6"/>
      <c r="C18" s="137"/>
      <c r="D18" s="137"/>
      <c r="E18" s="137" t="s">
        <v>357</v>
      </c>
      <c r="F18" s="137"/>
      <c r="G18" s="137"/>
      <c r="H18" s="137"/>
      <c r="I18" s="250">
        <f>I13</f>
        <v>0</v>
      </c>
      <c r="J18" s="137"/>
      <c r="K18" s="250">
        <f>K13</f>
        <v>0</v>
      </c>
      <c r="L18" s="137"/>
      <c r="M18" s="250">
        <f>M13</f>
        <v>0</v>
      </c>
      <c r="N18" s="137"/>
      <c r="O18" s="250">
        <f>O13</f>
        <v>0</v>
      </c>
      <c r="P18" s="137"/>
      <c r="Q18" s="250">
        <f>Q13</f>
        <v>0</v>
      </c>
      <c r="R18" s="137"/>
      <c r="S18" s="250">
        <f>SUM(I18,K18,M18,O18,Q18)</f>
        <v>0</v>
      </c>
      <c r="T18" s="137"/>
      <c r="U18" s="137"/>
      <c r="V18" s="137"/>
      <c r="W18" s="6"/>
    </row>
    <row r="19" spans="2:23" x14ac:dyDescent="0.2">
      <c r="B19" s="6"/>
      <c r="C19" s="137"/>
      <c r="D19" s="137"/>
      <c r="E19" s="137" t="s">
        <v>360</v>
      </c>
      <c r="F19" s="137"/>
      <c r="G19" s="137"/>
      <c r="H19" s="137"/>
      <c r="I19" s="250">
        <f>(I17-1)*Var_Module_Increment+I18</f>
        <v>0</v>
      </c>
      <c r="J19" s="137"/>
      <c r="K19" s="250">
        <f>(K17-1)*Var_Module_Increment+K18</f>
        <v>0</v>
      </c>
      <c r="L19" s="137"/>
      <c r="M19" s="250">
        <f>(M17-1)*Var_Module_Increment+M18</f>
        <v>0</v>
      </c>
      <c r="N19" s="137"/>
      <c r="O19" s="250">
        <f>(O17-1)*Var_Module_Increment+O18</f>
        <v>0</v>
      </c>
      <c r="P19" s="137"/>
      <c r="Q19" s="250">
        <f>(Q17-1)*Var_Module_Increment+Q18</f>
        <v>0</v>
      </c>
      <c r="R19" s="137"/>
      <c r="S19" s="250">
        <f>SUM(I19,K19,M19,O19,Q19)</f>
        <v>0</v>
      </c>
      <c r="T19" s="137"/>
      <c r="U19" s="137"/>
      <c r="V19" s="137"/>
      <c r="W19" s="6"/>
    </row>
    <row r="20" spans="2:23" x14ac:dyDescent="0.2">
      <c r="B20" s="6"/>
      <c r="C20" s="137"/>
      <c r="D20" s="137"/>
      <c r="E20" s="137" t="s">
        <v>361</v>
      </c>
      <c r="F20" s="137"/>
      <c r="G20" s="137"/>
      <c r="H20" s="137"/>
      <c r="I20" s="250">
        <f>I19-(I12-Result_FACostBase_Y1)</f>
        <v>0</v>
      </c>
      <c r="J20" s="137"/>
      <c r="K20" s="250">
        <f>K19-(K12-Result_FACostBase_Y2)</f>
        <v>0</v>
      </c>
      <c r="L20" s="137"/>
      <c r="M20" s="250">
        <f>M19-(M12-Result_FACostBase_Y3)</f>
        <v>0</v>
      </c>
      <c r="N20" s="137"/>
      <c r="O20" s="250">
        <f>O19-(O12-Result_FACostBase_Y4)</f>
        <v>0</v>
      </c>
      <c r="P20" s="137"/>
      <c r="Q20" s="250">
        <f>Q19-(Q12-Result_FACostBase_Y5)</f>
        <v>0</v>
      </c>
      <c r="R20" s="137"/>
      <c r="S20" s="250">
        <f>SUM(I20,K20,M20,O20,Q20)</f>
        <v>0</v>
      </c>
      <c r="T20" s="137"/>
      <c r="U20" s="137"/>
      <c r="V20" s="137"/>
      <c r="W20" s="6"/>
    </row>
    <row r="21" spans="2:23" x14ac:dyDescent="0.2">
      <c r="B21" s="6"/>
      <c r="C21" s="137"/>
      <c r="D21" s="137"/>
      <c r="E21" s="137" t="s">
        <v>362</v>
      </c>
      <c r="F21" s="137"/>
      <c r="G21" s="137"/>
      <c r="H21" s="137"/>
      <c r="I21" s="250">
        <f>I20*FA_Rate_Y1</f>
        <v>0</v>
      </c>
      <c r="J21" s="137"/>
      <c r="K21" s="250">
        <f>K20*FA_Rate_Y2</f>
        <v>0</v>
      </c>
      <c r="L21" s="137"/>
      <c r="M21" s="250">
        <f>M20*FA_Rate_Y3</f>
        <v>0</v>
      </c>
      <c r="N21" s="137"/>
      <c r="O21" s="250">
        <f>O20*FA_Rate_Y4</f>
        <v>0</v>
      </c>
      <c r="P21" s="137"/>
      <c r="Q21" s="250">
        <f>Q20*FA_Rate_Y5</f>
        <v>0</v>
      </c>
      <c r="R21" s="137"/>
      <c r="S21" s="250">
        <f>SUM(I21,K21,M21,O21,Q21)</f>
        <v>0</v>
      </c>
      <c r="T21" s="137"/>
      <c r="U21" s="137"/>
      <c r="V21" s="137"/>
      <c r="W21" s="6"/>
    </row>
    <row r="22" spans="2:23" x14ac:dyDescent="0.2">
      <c r="B22" s="6"/>
      <c r="C22" s="137"/>
      <c r="D22" s="137"/>
      <c r="E22" s="137" t="s">
        <v>363</v>
      </c>
      <c r="F22" s="137"/>
      <c r="G22" s="137"/>
      <c r="H22" s="137"/>
      <c r="I22" s="250">
        <f>I19+I21</f>
        <v>0</v>
      </c>
      <c r="J22" s="137"/>
      <c r="K22" s="250">
        <f>K19+K21</f>
        <v>0</v>
      </c>
      <c r="L22" s="137"/>
      <c r="M22" s="250">
        <f>M19+M21</f>
        <v>0</v>
      </c>
      <c r="N22" s="137"/>
      <c r="O22" s="250">
        <f>O19+O21</f>
        <v>0</v>
      </c>
      <c r="P22" s="137"/>
      <c r="Q22" s="250">
        <f>Q19+Q21</f>
        <v>0</v>
      </c>
      <c r="R22" s="137"/>
      <c r="S22" s="250">
        <f>SUM(I22,K22,M22,O22,Q22)</f>
        <v>0</v>
      </c>
      <c r="T22" s="137"/>
      <c r="U22" s="137"/>
      <c r="V22" s="137"/>
      <c r="W22" s="6"/>
    </row>
    <row r="23" spans="2:23" x14ac:dyDescent="0.2">
      <c r="B23" s="6"/>
      <c r="C23" s="137"/>
      <c r="D23" s="137"/>
      <c r="E23" s="137"/>
      <c r="F23" s="137"/>
      <c r="G23" s="137"/>
      <c r="H23" s="137"/>
      <c r="I23" s="137"/>
      <c r="J23" s="137"/>
      <c r="K23" s="137"/>
      <c r="L23" s="137"/>
      <c r="M23" s="137"/>
      <c r="N23" s="137"/>
      <c r="O23" s="137"/>
      <c r="P23" s="137"/>
      <c r="Q23" s="137"/>
      <c r="R23" s="137"/>
      <c r="S23" s="137"/>
      <c r="T23" s="137"/>
      <c r="U23" s="137"/>
      <c r="V23" s="137"/>
      <c r="W23" s="6"/>
    </row>
    <row r="24" spans="2:23" ht="12.75" customHeight="1" x14ac:dyDescent="0.2">
      <c r="B24" s="6"/>
      <c r="C24" s="137"/>
      <c r="D24" s="137"/>
      <c r="E24" s="137"/>
      <c r="F24" s="137"/>
      <c r="G24" s="137"/>
      <c r="H24" s="137"/>
      <c r="I24" s="137"/>
      <c r="J24" s="137"/>
      <c r="K24" s="137"/>
      <c r="L24" s="137"/>
      <c r="M24" s="137"/>
      <c r="N24" s="137"/>
      <c r="O24" s="137"/>
      <c r="P24" s="137"/>
      <c r="Q24" s="137"/>
      <c r="R24" s="137"/>
      <c r="S24" s="137"/>
      <c r="T24" s="137"/>
      <c r="U24" s="137"/>
      <c r="V24" s="137"/>
      <c r="W24" s="6"/>
    </row>
    <row r="25" spans="2:23" ht="7.5" customHeight="1" x14ac:dyDescent="0.2">
      <c r="B25" s="6"/>
      <c r="C25" s="137"/>
      <c r="D25" s="137"/>
      <c r="E25" s="137"/>
      <c r="F25" s="137"/>
      <c r="G25" s="137"/>
      <c r="H25" s="137"/>
      <c r="I25" s="137"/>
      <c r="J25" s="137"/>
      <c r="K25" s="137"/>
      <c r="L25" s="137"/>
      <c r="M25" s="137"/>
      <c r="N25" s="137"/>
      <c r="O25" s="137"/>
      <c r="P25" s="137"/>
      <c r="Q25" s="137"/>
      <c r="R25" s="137"/>
      <c r="S25" s="137"/>
      <c r="T25" s="137"/>
      <c r="U25" s="137"/>
      <c r="V25" s="137"/>
      <c r="W25" s="6"/>
    </row>
    <row r="26" spans="2:23" ht="5.0999999999999996" customHeight="1" x14ac:dyDescent="0.2">
      <c r="B26" s="16"/>
      <c r="C26" s="17"/>
      <c r="D26" s="17"/>
      <c r="E26" s="17"/>
      <c r="F26" s="17"/>
      <c r="G26" s="17"/>
      <c r="H26" s="17"/>
      <c r="I26" s="17"/>
      <c r="J26" s="17"/>
      <c r="K26" s="17"/>
      <c r="L26" s="17"/>
      <c r="M26" s="17"/>
      <c r="N26" s="17"/>
      <c r="O26" s="17"/>
      <c r="P26" s="17"/>
      <c r="Q26" s="17"/>
      <c r="R26" s="17"/>
      <c r="S26" s="17"/>
      <c r="T26" s="17"/>
      <c r="U26" s="17"/>
      <c r="V26" s="17"/>
      <c r="W26" s="18"/>
    </row>
    <row r="28" spans="2:23" ht="45.75" customHeight="1" thickBot="1" x14ac:dyDescent="0.25">
      <c r="F28" s="1068" t="s">
        <v>368</v>
      </c>
      <c r="G28" s="1068"/>
      <c r="H28" s="1068"/>
      <c r="I28" s="1068"/>
      <c r="J28" s="1068"/>
      <c r="K28" s="1068"/>
      <c r="L28" s="1068"/>
      <c r="M28" s="1068"/>
      <c r="N28" s="1068"/>
      <c r="O28" s="1068"/>
      <c r="P28" s="1068"/>
      <c r="Q28" s="1068"/>
      <c r="R28" s="1068"/>
    </row>
    <row r="29" spans="2:23" ht="13.5" thickBot="1" x14ac:dyDescent="0.25">
      <c r="I29" s="1049" t="s">
        <v>53</v>
      </c>
      <c r="J29" s="1050"/>
      <c r="K29" s="1050"/>
      <c r="L29" s="1050"/>
      <c r="M29" s="1051"/>
      <c r="N29" s="1049" t="s">
        <v>54</v>
      </c>
      <c r="O29" s="1050"/>
      <c r="P29" s="1050"/>
      <c r="Q29" s="1050"/>
      <c r="R29" s="1050"/>
      <c r="S29" s="1051"/>
    </row>
    <row r="30" spans="2:23" x14ac:dyDescent="0.2">
      <c r="D30" s="1046" t="s">
        <v>370</v>
      </c>
      <c r="E30" s="1047"/>
      <c r="F30" s="1047"/>
      <c r="G30" s="1047"/>
      <c r="H30" s="1048"/>
      <c r="I30" s="1066" t="s">
        <v>365</v>
      </c>
      <c r="J30" s="1070"/>
      <c r="K30" s="1070" t="s">
        <v>366</v>
      </c>
      <c r="L30" s="1070"/>
      <c r="M30" s="218" t="s">
        <v>367</v>
      </c>
      <c r="N30" s="1067" t="s">
        <v>365</v>
      </c>
      <c r="O30" s="1066"/>
      <c r="P30" s="1064" t="s">
        <v>366</v>
      </c>
      <c r="Q30" s="1066"/>
      <c r="R30" s="1064" t="s">
        <v>367</v>
      </c>
      <c r="S30" s="1065"/>
    </row>
    <row r="31" spans="2:23" x14ac:dyDescent="0.2">
      <c r="D31" s="1040">
        <f>'Budget Period 1'!F103</f>
        <v>0</v>
      </c>
      <c r="E31" s="1041"/>
      <c r="F31" s="1041"/>
      <c r="G31" s="1041"/>
      <c r="H31" s="1042"/>
      <c r="I31" s="1038">
        <f>Data_Subaward_Y1_1</f>
        <v>0</v>
      </c>
      <c r="J31" s="1039"/>
      <c r="K31" s="1071"/>
      <c r="L31" s="1071"/>
      <c r="M31" s="252">
        <f>I31-K31</f>
        <v>0</v>
      </c>
      <c r="N31" s="1063">
        <f>Data_Subaward_Y2_1</f>
        <v>0</v>
      </c>
      <c r="O31" s="1038"/>
      <c r="P31" s="1053"/>
      <c r="Q31" s="1054"/>
      <c r="R31" s="1055">
        <f>N31-P31</f>
        <v>0</v>
      </c>
      <c r="S31" s="1056"/>
    </row>
    <row r="32" spans="2:23" x14ac:dyDescent="0.2">
      <c r="D32" s="1040">
        <f>'Budget Period 1'!F104</f>
        <v>0</v>
      </c>
      <c r="E32" s="1041"/>
      <c r="F32" s="1041"/>
      <c r="G32" s="1041"/>
      <c r="H32" s="1042"/>
      <c r="I32" s="1038">
        <f>Data_Subaward_Y1_2</f>
        <v>0</v>
      </c>
      <c r="J32" s="1039"/>
      <c r="K32" s="1071"/>
      <c r="L32" s="1071"/>
      <c r="M32" s="252">
        <f t="shared" ref="M32:M40" si="0">I32-K32</f>
        <v>0</v>
      </c>
      <c r="N32" s="1063">
        <f>Data_Subaward_Y2_2</f>
        <v>0</v>
      </c>
      <c r="O32" s="1038"/>
      <c r="P32" s="1053"/>
      <c r="Q32" s="1054"/>
      <c r="R32" s="1055">
        <f t="shared" ref="R32:R40" si="1">N32-P32</f>
        <v>0</v>
      </c>
      <c r="S32" s="1056"/>
    </row>
    <row r="33" spans="4:19" x14ac:dyDescent="0.2">
      <c r="D33" s="1040">
        <f>'Budget Period 1'!F105</f>
        <v>0</v>
      </c>
      <c r="E33" s="1041"/>
      <c r="F33" s="1041"/>
      <c r="G33" s="1041"/>
      <c r="H33" s="1042"/>
      <c r="I33" s="1038">
        <f>Data_Subaward_Y1_3</f>
        <v>0</v>
      </c>
      <c r="J33" s="1039"/>
      <c r="K33" s="1071"/>
      <c r="L33" s="1071"/>
      <c r="M33" s="252">
        <f t="shared" si="0"/>
        <v>0</v>
      </c>
      <c r="N33" s="1063">
        <f>Data_Subaward_Y2_3</f>
        <v>0</v>
      </c>
      <c r="O33" s="1038"/>
      <c r="P33" s="1053"/>
      <c r="Q33" s="1054"/>
      <c r="R33" s="1055">
        <f t="shared" si="1"/>
        <v>0</v>
      </c>
      <c r="S33" s="1056"/>
    </row>
    <row r="34" spans="4:19" x14ac:dyDescent="0.2">
      <c r="D34" s="1040">
        <f>'Budget Period 1'!F106</f>
        <v>0</v>
      </c>
      <c r="E34" s="1041"/>
      <c r="F34" s="1041"/>
      <c r="G34" s="1041"/>
      <c r="H34" s="1042"/>
      <c r="I34" s="1038">
        <f>Data_Subaward_Y1_4</f>
        <v>0</v>
      </c>
      <c r="J34" s="1039"/>
      <c r="K34" s="1071"/>
      <c r="L34" s="1071"/>
      <c r="M34" s="252">
        <f t="shared" si="0"/>
        <v>0</v>
      </c>
      <c r="N34" s="1063">
        <f>Data_Subaward_Y2_4</f>
        <v>0</v>
      </c>
      <c r="O34" s="1038"/>
      <c r="P34" s="1053"/>
      <c r="Q34" s="1054"/>
      <c r="R34" s="1055">
        <f t="shared" si="1"/>
        <v>0</v>
      </c>
      <c r="S34" s="1056"/>
    </row>
    <row r="35" spans="4:19" x14ac:dyDescent="0.2">
      <c r="D35" s="1040">
        <f>'Budget Period 1'!F107</f>
        <v>0</v>
      </c>
      <c r="E35" s="1041"/>
      <c r="F35" s="1041"/>
      <c r="G35" s="1041"/>
      <c r="H35" s="1042"/>
      <c r="I35" s="1038">
        <f>Data_Subaward_Y1_5</f>
        <v>0</v>
      </c>
      <c r="J35" s="1039"/>
      <c r="K35" s="1071"/>
      <c r="L35" s="1071"/>
      <c r="M35" s="252">
        <f t="shared" si="0"/>
        <v>0</v>
      </c>
      <c r="N35" s="1063">
        <f>Data_Subaward_Y2_5</f>
        <v>0</v>
      </c>
      <c r="O35" s="1038"/>
      <c r="P35" s="1053"/>
      <c r="Q35" s="1054"/>
      <c r="R35" s="1055">
        <f t="shared" si="1"/>
        <v>0</v>
      </c>
      <c r="S35" s="1056"/>
    </row>
    <row r="36" spans="4:19" x14ac:dyDescent="0.2">
      <c r="D36" s="1040">
        <f>'Budget Period 1'!F109</f>
        <v>0</v>
      </c>
      <c r="E36" s="1041"/>
      <c r="F36" s="1041"/>
      <c r="G36" s="1041"/>
      <c r="H36" s="1042"/>
      <c r="I36" s="1038">
        <f>'Budget Period 1'!AK109</f>
        <v>0</v>
      </c>
      <c r="J36" s="1039"/>
      <c r="K36" s="1071"/>
      <c r="L36" s="1071"/>
      <c r="M36" s="252">
        <f t="shared" si="0"/>
        <v>0</v>
      </c>
      <c r="N36" s="1063">
        <f>'Budget Period 2'!AK109</f>
        <v>0</v>
      </c>
      <c r="O36" s="1038"/>
      <c r="P36" s="1053"/>
      <c r="Q36" s="1054"/>
      <c r="R36" s="1055">
        <f t="shared" si="1"/>
        <v>0</v>
      </c>
      <c r="S36" s="1056"/>
    </row>
    <row r="37" spans="4:19" x14ac:dyDescent="0.2">
      <c r="D37" s="1040">
        <f>'Budget Period 1'!F110</f>
        <v>0</v>
      </c>
      <c r="E37" s="1041"/>
      <c r="F37" s="1041"/>
      <c r="G37" s="1041"/>
      <c r="H37" s="1042"/>
      <c r="I37" s="1038">
        <f>'Budget Period 1'!AK110</f>
        <v>0</v>
      </c>
      <c r="J37" s="1039"/>
      <c r="K37" s="1071"/>
      <c r="L37" s="1071"/>
      <c r="M37" s="252">
        <f t="shared" si="0"/>
        <v>0</v>
      </c>
      <c r="N37" s="1063">
        <f>'Budget Period 2'!AK110</f>
        <v>0</v>
      </c>
      <c r="O37" s="1038"/>
      <c r="P37" s="1053"/>
      <c r="Q37" s="1054"/>
      <c r="R37" s="1055">
        <f t="shared" si="1"/>
        <v>0</v>
      </c>
      <c r="S37" s="1056"/>
    </row>
    <row r="38" spans="4:19" x14ac:dyDescent="0.2">
      <c r="D38" s="1040">
        <f>'Budget Period 1'!F111</f>
        <v>0</v>
      </c>
      <c r="E38" s="1041"/>
      <c r="F38" s="1041"/>
      <c r="G38" s="1041"/>
      <c r="H38" s="1042"/>
      <c r="I38" s="1038">
        <f>'Budget Period 1'!AK111</f>
        <v>0</v>
      </c>
      <c r="J38" s="1039"/>
      <c r="K38" s="1071"/>
      <c r="L38" s="1071"/>
      <c r="M38" s="252">
        <f t="shared" si="0"/>
        <v>0</v>
      </c>
      <c r="N38" s="1063">
        <f>'Budget Period 2'!AK111</f>
        <v>0</v>
      </c>
      <c r="O38" s="1038"/>
      <c r="P38" s="1053"/>
      <c r="Q38" s="1054"/>
      <c r="R38" s="1055">
        <f t="shared" si="1"/>
        <v>0</v>
      </c>
      <c r="S38" s="1056"/>
    </row>
    <row r="39" spans="4:19" x14ac:dyDescent="0.2">
      <c r="D39" s="1040">
        <f>'Budget Period 1'!F112</f>
        <v>0</v>
      </c>
      <c r="E39" s="1041"/>
      <c r="F39" s="1041"/>
      <c r="G39" s="1041"/>
      <c r="H39" s="1042"/>
      <c r="I39" s="1038">
        <f>'Budget Period 1'!AK112</f>
        <v>0</v>
      </c>
      <c r="J39" s="1039"/>
      <c r="K39" s="1071"/>
      <c r="L39" s="1071"/>
      <c r="M39" s="252">
        <f t="shared" si="0"/>
        <v>0</v>
      </c>
      <c r="N39" s="1063">
        <f>'Budget Period 2'!AK112</f>
        <v>0</v>
      </c>
      <c r="O39" s="1038"/>
      <c r="P39" s="1053"/>
      <c r="Q39" s="1054"/>
      <c r="R39" s="1055">
        <f t="shared" si="1"/>
        <v>0</v>
      </c>
      <c r="S39" s="1056"/>
    </row>
    <row r="40" spans="4:19" ht="13.5" thickBot="1" x14ac:dyDescent="0.25">
      <c r="D40" s="1043">
        <f>'Budget Period 1'!F113</f>
        <v>0</v>
      </c>
      <c r="E40" s="1044"/>
      <c r="F40" s="1044"/>
      <c r="G40" s="1044"/>
      <c r="H40" s="1045"/>
      <c r="I40" s="1058">
        <f>'Budget Period 1'!AK113</f>
        <v>0</v>
      </c>
      <c r="J40" s="1073"/>
      <c r="K40" s="1072"/>
      <c r="L40" s="1072"/>
      <c r="M40" s="253">
        <f t="shared" si="0"/>
        <v>0</v>
      </c>
      <c r="N40" s="1057">
        <f>'Budget Period 2'!AK113</f>
        <v>0</v>
      </c>
      <c r="O40" s="1058"/>
      <c r="P40" s="1059"/>
      <c r="Q40" s="1060"/>
      <c r="R40" s="1061">
        <f t="shared" si="1"/>
        <v>0</v>
      </c>
      <c r="S40" s="1062"/>
    </row>
    <row r="41" spans="4:19" ht="13.5" thickBot="1" x14ac:dyDescent="0.25"/>
    <row r="42" spans="4:19" ht="13.5" thickBot="1" x14ac:dyDescent="0.25">
      <c r="I42" s="1049" t="s">
        <v>55</v>
      </c>
      <c r="J42" s="1050"/>
      <c r="K42" s="1050"/>
      <c r="L42" s="1050"/>
      <c r="M42" s="1051"/>
      <c r="N42" s="1052" t="s">
        <v>56</v>
      </c>
      <c r="O42" s="1050"/>
      <c r="P42" s="1050"/>
      <c r="Q42" s="1050"/>
      <c r="R42" s="1050"/>
      <c r="S42" s="1051"/>
    </row>
    <row r="43" spans="4:19" x14ac:dyDescent="0.2">
      <c r="D43" s="1046" t="s">
        <v>370</v>
      </c>
      <c r="E43" s="1047"/>
      <c r="F43" s="1047"/>
      <c r="G43" s="1047"/>
      <c r="H43" s="1048"/>
      <c r="I43" s="1074" t="s">
        <v>365</v>
      </c>
      <c r="J43" s="1070"/>
      <c r="K43" s="1070" t="s">
        <v>366</v>
      </c>
      <c r="L43" s="1070"/>
      <c r="M43" s="218" t="s">
        <v>367</v>
      </c>
      <c r="N43" s="1067" t="s">
        <v>365</v>
      </c>
      <c r="O43" s="1066"/>
      <c r="P43" s="1064" t="s">
        <v>366</v>
      </c>
      <c r="Q43" s="1066"/>
      <c r="R43" s="1064" t="s">
        <v>367</v>
      </c>
      <c r="S43" s="1065"/>
    </row>
    <row r="44" spans="4:19" x14ac:dyDescent="0.2">
      <c r="D44" s="1040">
        <f>'Budget Period 1'!F103</f>
        <v>0</v>
      </c>
      <c r="E44" s="1041"/>
      <c r="F44" s="1041"/>
      <c r="G44" s="1041"/>
      <c r="H44" s="1042"/>
      <c r="I44" s="1075">
        <f>Data_Subaward_Y3_1</f>
        <v>0</v>
      </c>
      <c r="J44" s="1039"/>
      <c r="K44" s="1071"/>
      <c r="L44" s="1071"/>
      <c r="M44" s="252">
        <f>I44-K44</f>
        <v>0</v>
      </c>
      <c r="N44" s="1063">
        <f>Data_Subaward_Y4_1</f>
        <v>0</v>
      </c>
      <c r="O44" s="1038"/>
      <c r="P44" s="1053"/>
      <c r="Q44" s="1054"/>
      <c r="R44" s="1055">
        <f>N44-P44</f>
        <v>0</v>
      </c>
      <c r="S44" s="1056"/>
    </row>
    <row r="45" spans="4:19" x14ac:dyDescent="0.2">
      <c r="D45" s="1040">
        <f>'Budget Period 1'!F104</f>
        <v>0</v>
      </c>
      <c r="E45" s="1041"/>
      <c r="F45" s="1041"/>
      <c r="G45" s="1041"/>
      <c r="H45" s="1042"/>
      <c r="I45" s="1075">
        <f>Data_Subaward_Y3_2</f>
        <v>0</v>
      </c>
      <c r="J45" s="1039"/>
      <c r="K45" s="1071"/>
      <c r="L45" s="1071"/>
      <c r="M45" s="252">
        <f t="shared" ref="M45:M53" si="2">I45-K45</f>
        <v>0</v>
      </c>
      <c r="N45" s="1063">
        <f>Data_Subaward_Y4_2</f>
        <v>0</v>
      </c>
      <c r="O45" s="1038"/>
      <c r="P45" s="1053"/>
      <c r="Q45" s="1054"/>
      <c r="R45" s="1055">
        <f t="shared" ref="R45:R53" si="3">N45-P45</f>
        <v>0</v>
      </c>
      <c r="S45" s="1056"/>
    </row>
    <row r="46" spans="4:19" x14ac:dyDescent="0.2">
      <c r="D46" s="1040">
        <f>'Budget Period 1'!F105</f>
        <v>0</v>
      </c>
      <c r="E46" s="1041"/>
      <c r="F46" s="1041"/>
      <c r="G46" s="1041"/>
      <c r="H46" s="1042"/>
      <c r="I46" s="1075">
        <f>Data_Subaward_Y3_3</f>
        <v>0</v>
      </c>
      <c r="J46" s="1039"/>
      <c r="K46" s="1071"/>
      <c r="L46" s="1071"/>
      <c r="M46" s="252">
        <f t="shared" si="2"/>
        <v>0</v>
      </c>
      <c r="N46" s="1063">
        <f>Data_Subaward_Y4_3</f>
        <v>0</v>
      </c>
      <c r="O46" s="1038"/>
      <c r="P46" s="1053"/>
      <c r="Q46" s="1054"/>
      <c r="R46" s="1055">
        <f t="shared" si="3"/>
        <v>0</v>
      </c>
      <c r="S46" s="1056"/>
    </row>
    <row r="47" spans="4:19" x14ac:dyDescent="0.2">
      <c r="D47" s="1040">
        <f>'Budget Period 1'!F106</f>
        <v>0</v>
      </c>
      <c r="E47" s="1041"/>
      <c r="F47" s="1041"/>
      <c r="G47" s="1041"/>
      <c r="H47" s="1042"/>
      <c r="I47" s="1075">
        <f>Data_Subaward_Y3_4</f>
        <v>0</v>
      </c>
      <c r="J47" s="1039"/>
      <c r="K47" s="1071"/>
      <c r="L47" s="1071"/>
      <c r="M47" s="252">
        <f t="shared" si="2"/>
        <v>0</v>
      </c>
      <c r="N47" s="1063">
        <f>Data_Subaward_Y4_4</f>
        <v>0</v>
      </c>
      <c r="O47" s="1038"/>
      <c r="P47" s="1053"/>
      <c r="Q47" s="1054"/>
      <c r="R47" s="1055">
        <f t="shared" si="3"/>
        <v>0</v>
      </c>
      <c r="S47" s="1056"/>
    </row>
    <row r="48" spans="4:19" x14ac:dyDescent="0.2">
      <c r="D48" s="1040">
        <f>'Budget Period 1'!F107</f>
        <v>0</v>
      </c>
      <c r="E48" s="1041"/>
      <c r="F48" s="1041"/>
      <c r="G48" s="1041"/>
      <c r="H48" s="1042"/>
      <c r="I48" s="1075">
        <f>Data_Subaward_Y3_5</f>
        <v>0</v>
      </c>
      <c r="J48" s="1039"/>
      <c r="K48" s="1071"/>
      <c r="L48" s="1071"/>
      <c r="M48" s="252">
        <f t="shared" si="2"/>
        <v>0</v>
      </c>
      <c r="N48" s="1063">
        <f>Data_Subaward_Y4_5</f>
        <v>0</v>
      </c>
      <c r="O48" s="1038"/>
      <c r="P48" s="1053"/>
      <c r="Q48" s="1054"/>
      <c r="R48" s="1055">
        <f t="shared" si="3"/>
        <v>0</v>
      </c>
      <c r="S48" s="1056"/>
    </row>
    <row r="49" spans="4:19" x14ac:dyDescent="0.2">
      <c r="D49" s="1040">
        <f>'Budget Period 1'!F109</f>
        <v>0</v>
      </c>
      <c r="E49" s="1041"/>
      <c r="F49" s="1041"/>
      <c r="G49" s="1041"/>
      <c r="H49" s="1042"/>
      <c r="I49" s="1075">
        <f>'Budget Period 3'!AK109</f>
        <v>0</v>
      </c>
      <c r="J49" s="1039"/>
      <c r="K49" s="1071"/>
      <c r="L49" s="1071"/>
      <c r="M49" s="252">
        <f t="shared" si="2"/>
        <v>0</v>
      </c>
      <c r="N49" s="1063">
        <f>'Budget Period 4'!AK109</f>
        <v>0</v>
      </c>
      <c r="O49" s="1038"/>
      <c r="P49" s="1053"/>
      <c r="Q49" s="1054"/>
      <c r="R49" s="1055">
        <f t="shared" si="3"/>
        <v>0</v>
      </c>
      <c r="S49" s="1056"/>
    </row>
    <row r="50" spans="4:19" x14ac:dyDescent="0.2">
      <c r="D50" s="1040">
        <f>'Budget Period 1'!F110</f>
        <v>0</v>
      </c>
      <c r="E50" s="1041"/>
      <c r="F50" s="1041"/>
      <c r="G50" s="1041"/>
      <c r="H50" s="1042"/>
      <c r="I50" s="1075">
        <f>'Budget Period 3'!AK110</f>
        <v>0</v>
      </c>
      <c r="J50" s="1039"/>
      <c r="K50" s="1071"/>
      <c r="L50" s="1071"/>
      <c r="M50" s="252">
        <f t="shared" si="2"/>
        <v>0</v>
      </c>
      <c r="N50" s="1063">
        <f>'Budget Period 4'!AK110</f>
        <v>0</v>
      </c>
      <c r="O50" s="1038"/>
      <c r="P50" s="1053"/>
      <c r="Q50" s="1054"/>
      <c r="R50" s="1055">
        <f t="shared" si="3"/>
        <v>0</v>
      </c>
      <c r="S50" s="1056"/>
    </row>
    <row r="51" spans="4:19" x14ac:dyDescent="0.2">
      <c r="D51" s="1040">
        <f>'Budget Period 1'!F111</f>
        <v>0</v>
      </c>
      <c r="E51" s="1041"/>
      <c r="F51" s="1041"/>
      <c r="G51" s="1041"/>
      <c r="H51" s="1042"/>
      <c r="I51" s="1075">
        <f>'Budget Period 3'!AK111</f>
        <v>0</v>
      </c>
      <c r="J51" s="1039"/>
      <c r="K51" s="1071"/>
      <c r="L51" s="1071"/>
      <c r="M51" s="252">
        <f t="shared" si="2"/>
        <v>0</v>
      </c>
      <c r="N51" s="1063">
        <f>'Budget Period 4'!AK111</f>
        <v>0</v>
      </c>
      <c r="O51" s="1038"/>
      <c r="P51" s="1053"/>
      <c r="Q51" s="1054"/>
      <c r="R51" s="1055">
        <f t="shared" si="3"/>
        <v>0</v>
      </c>
      <c r="S51" s="1056"/>
    </row>
    <row r="52" spans="4:19" x14ac:dyDescent="0.2">
      <c r="D52" s="1040">
        <f>'Budget Period 1'!F112</f>
        <v>0</v>
      </c>
      <c r="E52" s="1041"/>
      <c r="F52" s="1041"/>
      <c r="G52" s="1041"/>
      <c r="H52" s="1042"/>
      <c r="I52" s="1075">
        <f>'Budget Period 3'!AK112</f>
        <v>0</v>
      </c>
      <c r="J52" s="1039"/>
      <c r="K52" s="1071"/>
      <c r="L52" s="1071"/>
      <c r="M52" s="252">
        <f t="shared" si="2"/>
        <v>0</v>
      </c>
      <c r="N52" s="1063">
        <f>'Budget Period 4'!AK112</f>
        <v>0</v>
      </c>
      <c r="O52" s="1038"/>
      <c r="P52" s="1053"/>
      <c r="Q52" s="1054"/>
      <c r="R52" s="1055">
        <f t="shared" si="3"/>
        <v>0</v>
      </c>
      <c r="S52" s="1056"/>
    </row>
    <row r="53" spans="4:19" ht="13.5" thickBot="1" x14ac:dyDescent="0.25">
      <c r="D53" s="1043">
        <f>'Budget Period 1'!F113</f>
        <v>0</v>
      </c>
      <c r="E53" s="1044"/>
      <c r="F53" s="1044"/>
      <c r="G53" s="1044"/>
      <c r="H53" s="1045"/>
      <c r="I53" s="1076">
        <f>'Budget Period 3'!AK113</f>
        <v>0</v>
      </c>
      <c r="J53" s="1073"/>
      <c r="K53" s="1072"/>
      <c r="L53" s="1072"/>
      <c r="M53" s="253">
        <f t="shared" si="2"/>
        <v>0</v>
      </c>
      <c r="N53" s="1057">
        <f>'Budget Period 4'!AK113</f>
        <v>0</v>
      </c>
      <c r="O53" s="1058"/>
      <c r="P53" s="1059"/>
      <c r="Q53" s="1060"/>
      <c r="R53" s="1061">
        <f t="shared" si="3"/>
        <v>0</v>
      </c>
      <c r="S53" s="1062"/>
    </row>
    <row r="54" spans="4:19" ht="13.5" thickBot="1" x14ac:dyDescent="0.25"/>
    <row r="55" spans="4:19" ht="13.5" thickBot="1" x14ac:dyDescent="0.25">
      <c r="I55" s="1049" t="s">
        <v>57</v>
      </c>
      <c r="J55" s="1050"/>
      <c r="K55" s="1050"/>
      <c r="L55" s="1050"/>
      <c r="M55" s="1051"/>
    </row>
    <row r="56" spans="4:19" x14ac:dyDescent="0.2">
      <c r="D56" s="1046" t="s">
        <v>370</v>
      </c>
      <c r="E56" s="1047"/>
      <c r="F56" s="1047"/>
      <c r="G56" s="1047"/>
      <c r="H56" s="1048"/>
      <c r="I56" s="1074" t="s">
        <v>365</v>
      </c>
      <c r="J56" s="1070"/>
      <c r="K56" s="1070" t="s">
        <v>366</v>
      </c>
      <c r="L56" s="1070"/>
      <c r="M56" s="218" t="s">
        <v>367</v>
      </c>
    </row>
    <row r="57" spans="4:19" x14ac:dyDescent="0.2">
      <c r="D57" s="1040">
        <f>'Budget Period 1'!F103</f>
        <v>0</v>
      </c>
      <c r="E57" s="1041"/>
      <c r="F57" s="1041"/>
      <c r="G57" s="1041"/>
      <c r="H57" s="1042"/>
      <c r="I57" s="1075">
        <f>Data_Subaward_Y5_1</f>
        <v>0</v>
      </c>
      <c r="J57" s="1039"/>
      <c r="K57" s="1071"/>
      <c r="L57" s="1071"/>
      <c r="M57" s="252">
        <f>I57-K57</f>
        <v>0</v>
      </c>
    </row>
    <row r="58" spans="4:19" x14ac:dyDescent="0.2">
      <c r="D58" s="1040">
        <f>'Budget Period 1'!F104</f>
        <v>0</v>
      </c>
      <c r="E58" s="1041"/>
      <c r="F58" s="1041"/>
      <c r="G58" s="1041"/>
      <c r="H58" s="1042"/>
      <c r="I58" s="1075">
        <f>Data_Subaward_Y5_2</f>
        <v>0</v>
      </c>
      <c r="J58" s="1039"/>
      <c r="K58" s="1071"/>
      <c r="L58" s="1071"/>
      <c r="M58" s="252">
        <f t="shared" ref="M58:M66" si="4">I58-K58</f>
        <v>0</v>
      </c>
    </row>
    <row r="59" spans="4:19" x14ac:dyDescent="0.2">
      <c r="D59" s="1040">
        <f>'Budget Period 1'!F105</f>
        <v>0</v>
      </c>
      <c r="E59" s="1041"/>
      <c r="F59" s="1041"/>
      <c r="G59" s="1041"/>
      <c r="H59" s="1042"/>
      <c r="I59" s="1075">
        <f>Data_Subaward_Y5_3</f>
        <v>0</v>
      </c>
      <c r="J59" s="1039"/>
      <c r="K59" s="1071"/>
      <c r="L59" s="1071"/>
      <c r="M59" s="252">
        <f t="shared" si="4"/>
        <v>0</v>
      </c>
    </row>
    <row r="60" spans="4:19" x14ac:dyDescent="0.2">
      <c r="D60" s="1040">
        <f>'Budget Period 1'!F106</f>
        <v>0</v>
      </c>
      <c r="E60" s="1041"/>
      <c r="F60" s="1041"/>
      <c r="G60" s="1041"/>
      <c r="H60" s="1042"/>
      <c r="I60" s="1075">
        <f>Data_Subaward_Y5_4</f>
        <v>0</v>
      </c>
      <c r="J60" s="1039"/>
      <c r="K60" s="1071"/>
      <c r="L60" s="1071"/>
      <c r="M60" s="252">
        <f t="shared" si="4"/>
        <v>0</v>
      </c>
    </row>
    <row r="61" spans="4:19" x14ac:dyDescent="0.2">
      <c r="D61" s="1040">
        <f>'Budget Period 1'!F107</f>
        <v>0</v>
      </c>
      <c r="E61" s="1041"/>
      <c r="F61" s="1041"/>
      <c r="G61" s="1041"/>
      <c r="H61" s="1042"/>
      <c r="I61" s="1075">
        <f>Data_Subaward_Y5_5</f>
        <v>0</v>
      </c>
      <c r="J61" s="1039"/>
      <c r="K61" s="1071"/>
      <c r="L61" s="1071"/>
      <c r="M61" s="252">
        <f t="shared" si="4"/>
        <v>0</v>
      </c>
    </row>
    <row r="62" spans="4:19" x14ac:dyDescent="0.2">
      <c r="D62" s="1040">
        <f>'Budget Period 1'!F109</f>
        <v>0</v>
      </c>
      <c r="E62" s="1041"/>
      <c r="F62" s="1041"/>
      <c r="G62" s="1041"/>
      <c r="H62" s="1042"/>
      <c r="I62" s="1075">
        <f>'Budget Period 5'!AK109</f>
        <v>0</v>
      </c>
      <c r="J62" s="1039"/>
      <c r="K62" s="1071"/>
      <c r="L62" s="1071"/>
      <c r="M62" s="252">
        <f t="shared" si="4"/>
        <v>0</v>
      </c>
    </row>
    <row r="63" spans="4:19" x14ac:dyDescent="0.2">
      <c r="D63" s="1040">
        <f>'Budget Period 1'!F110</f>
        <v>0</v>
      </c>
      <c r="E63" s="1041"/>
      <c r="F63" s="1041"/>
      <c r="G63" s="1041"/>
      <c r="H63" s="1042"/>
      <c r="I63" s="1075">
        <f>'Budget Period 5'!AK110</f>
        <v>0</v>
      </c>
      <c r="J63" s="1039"/>
      <c r="K63" s="1071"/>
      <c r="L63" s="1071"/>
      <c r="M63" s="252">
        <f t="shared" si="4"/>
        <v>0</v>
      </c>
    </row>
    <row r="64" spans="4:19" x14ac:dyDescent="0.2">
      <c r="D64" s="1040">
        <f>'Budget Period 1'!F111</f>
        <v>0</v>
      </c>
      <c r="E64" s="1041"/>
      <c r="F64" s="1041"/>
      <c r="G64" s="1041"/>
      <c r="H64" s="1042"/>
      <c r="I64" s="1075">
        <f>'Budget Period 5'!AK111</f>
        <v>0</v>
      </c>
      <c r="J64" s="1039"/>
      <c r="K64" s="1071"/>
      <c r="L64" s="1071"/>
      <c r="M64" s="252">
        <f t="shared" si="4"/>
        <v>0</v>
      </c>
    </row>
    <row r="65" spans="4:13" x14ac:dyDescent="0.2">
      <c r="D65" s="1040">
        <f>'Budget Period 1'!F112</f>
        <v>0</v>
      </c>
      <c r="E65" s="1041"/>
      <c r="F65" s="1041"/>
      <c r="G65" s="1041"/>
      <c r="H65" s="1042"/>
      <c r="I65" s="1075">
        <f>'Budget Period 5'!AK112</f>
        <v>0</v>
      </c>
      <c r="J65" s="1039"/>
      <c r="K65" s="1071"/>
      <c r="L65" s="1071"/>
      <c r="M65" s="252">
        <f t="shared" si="4"/>
        <v>0</v>
      </c>
    </row>
    <row r="66" spans="4:13" ht="13.5" thickBot="1" x14ac:dyDescent="0.25">
      <c r="D66" s="1043">
        <f>'Budget Period 1'!F113</f>
        <v>0</v>
      </c>
      <c r="E66" s="1044"/>
      <c r="F66" s="1044"/>
      <c r="G66" s="1044"/>
      <c r="H66" s="1045"/>
      <c r="I66" s="1076">
        <f>'Budget Period 5'!AK113</f>
        <v>0</v>
      </c>
      <c r="J66" s="1073"/>
      <c r="K66" s="1072"/>
      <c r="L66" s="1072"/>
      <c r="M66" s="253">
        <f t="shared" si="4"/>
        <v>0</v>
      </c>
    </row>
  </sheetData>
  <sheetProtection algorithmName="SHA-512" hashValue="yxHaD4On2cy/QF1/PRwCCbY+5QK9NHkPebKOewFwci7waWT5hqEI8ibnFRZuPMINdNFItOAr0FOYG0m1S1yAsA==" saltValue="nZ+lSke7HdZ60B2nI9TsQQ==" spinCount="100000" sheet="1" selectLockedCells="1"/>
  <mergeCells count="175">
    <mergeCell ref="N4:T4"/>
    <mergeCell ref="N5:U6"/>
    <mergeCell ref="D65:H65"/>
    <mergeCell ref="I65:J65"/>
    <mergeCell ref="K65:L65"/>
    <mergeCell ref="D66:H66"/>
    <mergeCell ref="I66:J66"/>
    <mergeCell ref="K66:L66"/>
    <mergeCell ref="D64:H64"/>
    <mergeCell ref="I64:J64"/>
    <mergeCell ref="K64:L64"/>
    <mergeCell ref="N38:O38"/>
    <mergeCell ref="P38:Q38"/>
    <mergeCell ref="R38:S38"/>
    <mergeCell ref="N39:O39"/>
    <mergeCell ref="D62:H62"/>
    <mergeCell ref="I62:J62"/>
    <mergeCell ref="K62:L62"/>
    <mergeCell ref="D63:H63"/>
    <mergeCell ref="I63:J63"/>
    <mergeCell ref="D60:H60"/>
    <mergeCell ref="I60:J60"/>
    <mergeCell ref="K60:L60"/>
    <mergeCell ref="R32:S32"/>
    <mergeCell ref="N33:O33"/>
    <mergeCell ref="P33:Q33"/>
    <mergeCell ref="K63:L63"/>
    <mergeCell ref="D61:H61"/>
    <mergeCell ref="I61:J61"/>
    <mergeCell ref="K61:L61"/>
    <mergeCell ref="N34:O34"/>
    <mergeCell ref="P34:Q34"/>
    <mergeCell ref="K56:L56"/>
    <mergeCell ref="D57:H57"/>
    <mergeCell ref="I57:J57"/>
    <mergeCell ref="K57:L57"/>
    <mergeCell ref="D58:H58"/>
    <mergeCell ref="I58:J58"/>
    <mergeCell ref="K58:L58"/>
    <mergeCell ref="D59:H59"/>
    <mergeCell ref="I59:J59"/>
    <mergeCell ref="K59:L59"/>
    <mergeCell ref="I55:M55"/>
    <mergeCell ref="D56:H56"/>
    <mergeCell ref="I56:J56"/>
    <mergeCell ref="D52:H52"/>
    <mergeCell ref="I52:J52"/>
    <mergeCell ref="K52:L52"/>
    <mergeCell ref="N52:O52"/>
    <mergeCell ref="P52:Q52"/>
    <mergeCell ref="R52:S52"/>
    <mergeCell ref="D53:H53"/>
    <mergeCell ref="I53:J53"/>
    <mergeCell ref="K53:L53"/>
    <mergeCell ref="N53:O53"/>
    <mergeCell ref="P53:Q53"/>
    <mergeCell ref="R53:S53"/>
    <mergeCell ref="D50:H50"/>
    <mergeCell ref="I50:J50"/>
    <mergeCell ref="K50:L50"/>
    <mergeCell ref="N50:O50"/>
    <mergeCell ref="P50:Q50"/>
    <mergeCell ref="R50:S50"/>
    <mergeCell ref="D51:H51"/>
    <mergeCell ref="I51:J51"/>
    <mergeCell ref="K51:L51"/>
    <mergeCell ref="N51:O51"/>
    <mergeCell ref="P51:Q51"/>
    <mergeCell ref="R51:S51"/>
    <mergeCell ref="D48:H48"/>
    <mergeCell ref="I48:J48"/>
    <mergeCell ref="K48:L48"/>
    <mergeCell ref="N48:O48"/>
    <mergeCell ref="P48:Q48"/>
    <mergeCell ref="R48:S48"/>
    <mergeCell ref="D49:H49"/>
    <mergeCell ref="I49:J49"/>
    <mergeCell ref="K49:L49"/>
    <mergeCell ref="N49:O49"/>
    <mergeCell ref="P49:Q49"/>
    <mergeCell ref="R49:S49"/>
    <mergeCell ref="R45:S45"/>
    <mergeCell ref="D46:H46"/>
    <mergeCell ref="I46:J46"/>
    <mergeCell ref="K46:L46"/>
    <mergeCell ref="N46:O46"/>
    <mergeCell ref="P46:Q46"/>
    <mergeCell ref="R46:S46"/>
    <mergeCell ref="D47:H47"/>
    <mergeCell ref="I47:J47"/>
    <mergeCell ref="K47:L47"/>
    <mergeCell ref="N47:O47"/>
    <mergeCell ref="P47:Q47"/>
    <mergeCell ref="R47:S47"/>
    <mergeCell ref="D45:H45"/>
    <mergeCell ref="I45:J45"/>
    <mergeCell ref="K45:L45"/>
    <mergeCell ref="N45:O45"/>
    <mergeCell ref="P45:Q45"/>
    <mergeCell ref="I36:J36"/>
    <mergeCell ref="I37:J37"/>
    <mergeCell ref="I38:J38"/>
    <mergeCell ref="D36:H36"/>
    <mergeCell ref="D37:H37"/>
    <mergeCell ref="D38:H38"/>
    <mergeCell ref="P43:Q43"/>
    <mergeCell ref="R43:S43"/>
    <mergeCell ref="D44:H44"/>
    <mergeCell ref="I44:J44"/>
    <mergeCell ref="K44:L44"/>
    <mergeCell ref="N44:O44"/>
    <mergeCell ref="P44:Q44"/>
    <mergeCell ref="D43:H43"/>
    <mergeCell ref="P37:Q37"/>
    <mergeCell ref="K32:L32"/>
    <mergeCell ref="I33:J33"/>
    <mergeCell ref="I34:J34"/>
    <mergeCell ref="I35:J35"/>
    <mergeCell ref="R44:S44"/>
    <mergeCell ref="R33:S33"/>
    <mergeCell ref="R34:S34"/>
    <mergeCell ref="N35:O35"/>
    <mergeCell ref="N32:O32"/>
    <mergeCell ref="P32:Q32"/>
    <mergeCell ref="K40:L40"/>
    <mergeCell ref="I40:J40"/>
    <mergeCell ref="I43:J43"/>
    <mergeCell ref="K43:L43"/>
    <mergeCell ref="N43:O43"/>
    <mergeCell ref="K38:L38"/>
    <mergeCell ref="K39:L39"/>
    <mergeCell ref="I39:J39"/>
    <mergeCell ref="R37:S37"/>
    <mergeCell ref="K36:L36"/>
    <mergeCell ref="K37:L37"/>
    <mergeCell ref="K33:L33"/>
    <mergeCell ref="K34:L34"/>
    <mergeCell ref="K35:L35"/>
    <mergeCell ref="C7:V7"/>
    <mergeCell ref="R30:S30"/>
    <mergeCell ref="P30:Q30"/>
    <mergeCell ref="N30:O30"/>
    <mergeCell ref="N31:O31"/>
    <mergeCell ref="P31:Q31"/>
    <mergeCell ref="R31:S31"/>
    <mergeCell ref="F28:R28"/>
    <mergeCell ref="I16:Q16"/>
    <mergeCell ref="K30:L30"/>
    <mergeCell ref="K31:L31"/>
    <mergeCell ref="I30:J30"/>
    <mergeCell ref="I31:J31"/>
    <mergeCell ref="I32:J32"/>
    <mergeCell ref="D39:H39"/>
    <mergeCell ref="D40:H40"/>
    <mergeCell ref="D30:H30"/>
    <mergeCell ref="I29:M29"/>
    <mergeCell ref="N29:S29"/>
    <mergeCell ref="I42:M42"/>
    <mergeCell ref="N42:S42"/>
    <mergeCell ref="P39:Q39"/>
    <mergeCell ref="R39:S39"/>
    <mergeCell ref="N40:O40"/>
    <mergeCell ref="P40:Q40"/>
    <mergeCell ref="R40:S40"/>
    <mergeCell ref="D31:H31"/>
    <mergeCell ref="D32:H32"/>
    <mergeCell ref="D33:H33"/>
    <mergeCell ref="D34:H34"/>
    <mergeCell ref="D35:H35"/>
    <mergeCell ref="P35:Q35"/>
    <mergeCell ref="R35:S35"/>
    <mergeCell ref="N36:O36"/>
    <mergeCell ref="P36:Q36"/>
    <mergeCell ref="R36:S36"/>
    <mergeCell ref="N37:O37"/>
  </mergeCells>
  <conditionalFormatting sqref="N4:N5">
    <cfRule type="cellIs" dxfId="24" priority="7" stopIfTrue="1" operator="equal">
      <formula>0</formula>
    </cfRule>
  </conditionalFormatting>
  <conditionalFormatting sqref="I18:I22 K18:K22 M18:M22 O18:O22 Q18:Q22">
    <cfRule type="expression" dxfId="23" priority="6" stopIfTrue="1">
      <formula>OR(I$13="",I$17&lt;2)</formula>
    </cfRule>
  </conditionalFormatting>
  <conditionalFormatting sqref="D31:J40 N31:O40 N44:O53 D44:J53 D57:J66">
    <cfRule type="cellIs" dxfId="22" priority="4" stopIfTrue="1" operator="lessThanOrEqual">
      <formula>0</formula>
    </cfRule>
  </conditionalFormatting>
  <conditionalFormatting sqref="M31:M40 R31:S40 R44:S53 M44:M53 M57:M66">
    <cfRule type="cellIs" dxfId="21" priority="2" stopIfTrue="1" operator="lessThan">
      <formula>0</formula>
    </cfRule>
    <cfRule type="cellIs" dxfId="20" priority="3" stopIfTrue="1" operator="equal">
      <formula>0</formula>
    </cfRule>
  </conditionalFormatting>
  <conditionalFormatting sqref="F6">
    <cfRule type="cellIs" dxfId="19" priority="1" stopIfTrue="1" operator="lessThanOrEqual">
      <formula>0</formula>
    </cfRule>
  </conditionalFormatting>
  <dataValidations count="1">
    <dataValidation type="decimal" operator="greaterThanOrEqual" allowBlank="1" showErrorMessage="1" errorTitle="Invalid Input -  Enter a Number" error="Direct cost must be a a number greater than zero, but cannot exceed the amount of the subaward." promptTitle="Enter a number" prompt="Please enter a number greater than zero." sqref="K31:L40 P31:Q40 P44:Q53 K44:L53 K57:L66" xr:uid="{00000000-0002-0000-0A00-000000000000}">
      <formula1>0</formula1>
    </dataValidation>
  </dataValidations>
  <printOptions horizontalCentered="1" verticalCentered="1" gridLines="1"/>
  <pageMargins left="0.7" right="0.7" top="0.75" bottom="0.75" header="0.3" footer="0.3"/>
  <pageSetup scale="79" fitToHeight="0" orientation="landscape"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Drop Down 1">
              <controlPr defaultSize="0" autoLine="0" autoPict="0">
                <anchor moveWithCells="1">
                  <from>
                    <xdr:col>10</xdr:col>
                    <xdr:colOff>0</xdr:colOff>
                    <xdr:row>15</xdr:row>
                    <xdr:rowOff>152400</xdr:rowOff>
                  </from>
                  <to>
                    <xdr:col>11</xdr:col>
                    <xdr:colOff>19050</xdr:colOff>
                    <xdr:row>17</xdr:row>
                    <xdr:rowOff>0</xdr:rowOff>
                  </to>
                </anchor>
              </controlPr>
            </control>
          </mc:Choice>
        </mc:AlternateContent>
        <mc:AlternateContent xmlns:mc="http://schemas.openxmlformats.org/markup-compatibility/2006">
          <mc:Choice Requires="x14">
            <control shapeId="18434" r:id="rId5" name="Drop Down 2">
              <controlPr defaultSize="0" autoLine="0" autoPict="0">
                <anchor moveWithCells="1">
                  <from>
                    <xdr:col>12</xdr:col>
                    <xdr:colOff>0</xdr:colOff>
                    <xdr:row>15</xdr:row>
                    <xdr:rowOff>152400</xdr:rowOff>
                  </from>
                  <to>
                    <xdr:col>13</xdr:col>
                    <xdr:colOff>19050</xdr:colOff>
                    <xdr:row>17</xdr:row>
                    <xdr:rowOff>0</xdr:rowOff>
                  </to>
                </anchor>
              </controlPr>
            </control>
          </mc:Choice>
        </mc:AlternateContent>
        <mc:AlternateContent xmlns:mc="http://schemas.openxmlformats.org/markup-compatibility/2006">
          <mc:Choice Requires="x14">
            <control shapeId="18435" r:id="rId6" name="Drop Down 3">
              <controlPr defaultSize="0" autoLine="0" autoPict="0">
                <anchor moveWithCells="1">
                  <from>
                    <xdr:col>14</xdr:col>
                    <xdr:colOff>0</xdr:colOff>
                    <xdr:row>15</xdr:row>
                    <xdr:rowOff>152400</xdr:rowOff>
                  </from>
                  <to>
                    <xdr:col>15</xdr:col>
                    <xdr:colOff>19050</xdr:colOff>
                    <xdr:row>17</xdr:row>
                    <xdr:rowOff>0</xdr:rowOff>
                  </to>
                </anchor>
              </controlPr>
            </control>
          </mc:Choice>
        </mc:AlternateContent>
        <mc:AlternateContent xmlns:mc="http://schemas.openxmlformats.org/markup-compatibility/2006">
          <mc:Choice Requires="x14">
            <control shapeId="18436" r:id="rId7" name="Drop Down 4">
              <controlPr defaultSize="0" autoLine="0" autoPict="0">
                <anchor moveWithCells="1">
                  <from>
                    <xdr:col>16</xdr:col>
                    <xdr:colOff>0</xdr:colOff>
                    <xdr:row>15</xdr:row>
                    <xdr:rowOff>152400</xdr:rowOff>
                  </from>
                  <to>
                    <xdr:col>17</xdr:col>
                    <xdr:colOff>19050</xdr:colOff>
                    <xdr:row>17</xdr:row>
                    <xdr:rowOff>0</xdr:rowOff>
                  </to>
                </anchor>
              </controlPr>
            </control>
          </mc:Choice>
        </mc:AlternateContent>
        <mc:AlternateContent xmlns:mc="http://schemas.openxmlformats.org/markup-compatibility/2006">
          <mc:Choice Requires="x14">
            <control shapeId="18437" r:id="rId8" name="Drop Down 5">
              <controlPr defaultSize="0" autoLine="0" autoPict="0">
                <anchor moveWithCells="1">
                  <from>
                    <xdr:col>8</xdr:col>
                    <xdr:colOff>0</xdr:colOff>
                    <xdr:row>15</xdr:row>
                    <xdr:rowOff>152400</xdr:rowOff>
                  </from>
                  <to>
                    <xdr:col>9</xdr:col>
                    <xdr:colOff>19050</xdr:colOff>
                    <xdr:row>17</xdr:row>
                    <xdr:rowOff>0</xdr:rowOff>
                  </to>
                </anchor>
              </controlPr>
            </control>
          </mc:Choice>
        </mc:AlternateContent>
        <mc:AlternateContent xmlns:mc="http://schemas.openxmlformats.org/markup-compatibility/2006">
          <mc:Choice Requires="x14">
            <control shapeId="18438" r:id="rId9" name="Drop Down 6">
              <controlPr defaultSize="0" autoLine="0" autoPict="0">
                <anchor moveWithCells="1">
                  <from>
                    <xdr:col>16</xdr:col>
                    <xdr:colOff>0</xdr:colOff>
                    <xdr:row>15</xdr:row>
                    <xdr:rowOff>152400</xdr:rowOff>
                  </from>
                  <to>
                    <xdr:col>17</xdr:col>
                    <xdr:colOff>19050</xdr:colOff>
                    <xdr:row>17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Z54"/>
  <sheetViews>
    <sheetView showGridLines="0" showRowColHeaders="0" zoomScaleNormal="100" workbookViewId="0">
      <selection activeCell="D5" sqref="D5:X5"/>
    </sheetView>
  </sheetViews>
  <sheetFormatPr defaultRowHeight="12.75" x14ac:dyDescent="0.2"/>
  <cols>
    <col min="1" max="1" width="1.42578125" customWidth="1"/>
    <col min="2" max="2" width="0.7109375" customWidth="1"/>
    <col min="3" max="4" width="1.42578125" customWidth="1"/>
    <col min="5" max="14" width="3.7109375" customWidth="1"/>
    <col min="15" max="18" width="3.5703125" customWidth="1"/>
    <col min="19" max="20" width="1.42578125" customWidth="1"/>
    <col min="21" max="24" width="3.7109375" customWidth="1"/>
    <col min="25" max="25" width="2.28515625" customWidth="1"/>
    <col min="26" max="26" width="0.7109375" customWidth="1"/>
    <col min="27" max="30" width="4.28515625" customWidth="1"/>
    <col min="31" max="31" width="3.7109375" customWidth="1"/>
  </cols>
  <sheetData>
    <row r="1" spans="2:26" ht="13.5" thickBot="1" x14ac:dyDescent="0.25"/>
    <row r="2" spans="2:26"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12"/>
    </row>
    <row r="3" spans="2:26" x14ac:dyDescent="0.2">
      <c r="B3" s="10"/>
      <c r="C3" s="137"/>
      <c r="D3" s="137"/>
      <c r="E3" s="137"/>
      <c r="F3" s="137"/>
      <c r="G3" s="137"/>
      <c r="H3" s="137"/>
      <c r="I3" s="137"/>
      <c r="J3" s="137"/>
      <c r="K3" s="137"/>
      <c r="L3" s="137"/>
      <c r="M3" s="137"/>
      <c r="N3" s="137"/>
      <c r="O3" s="137"/>
      <c r="P3" s="137"/>
      <c r="Q3" s="137"/>
      <c r="R3" s="137"/>
      <c r="S3" s="137"/>
      <c r="T3" s="137"/>
      <c r="U3" s="137"/>
      <c r="V3" s="206" t="str">
        <f>'Project Data'!R3</f>
        <v xml:space="preserve">OSP Budget Revision Date: </v>
      </c>
      <c r="W3" s="1078">
        <f>Var_SpreadsheetRevisionDate</f>
        <v>44910</v>
      </c>
      <c r="X3" s="1079"/>
      <c r="Y3" s="1080"/>
      <c r="Z3" s="10"/>
    </row>
    <row r="4" spans="2:26" x14ac:dyDescent="0.2">
      <c r="B4" s="10"/>
      <c r="C4" s="605" t="s">
        <v>0</v>
      </c>
      <c r="D4" s="606"/>
      <c r="E4" s="606"/>
      <c r="F4" s="606"/>
      <c r="G4" s="606"/>
      <c r="H4" s="606"/>
      <c r="I4" s="606"/>
      <c r="J4" s="606"/>
      <c r="K4" s="606"/>
      <c r="L4" s="606"/>
      <c r="M4" s="606"/>
      <c r="N4" s="606"/>
      <c r="O4" s="606"/>
      <c r="P4" s="606"/>
      <c r="Q4" s="606"/>
      <c r="R4" s="606"/>
      <c r="S4" s="606"/>
      <c r="T4" s="606"/>
      <c r="U4" s="606"/>
      <c r="V4" s="606"/>
      <c r="W4" s="606"/>
      <c r="X4" s="606"/>
      <c r="Y4" s="607"/>
      <c r="Z4" s="10"/>
    </row>
    <row r="5" spans="2:26" x14ac:dyDescent="0.2">
      <c r="B5" s="10"/>
      <c r="C5" s="202"/>
      <c r="D5" s="606" t="s">
        <v>351</v>
      </c>
      <c r="E5" s="606"/>
      <c r="F5" s="606"/>
      <c r="G5" s="606"/>
      <c r="H5" s="606"/>
      <c r="I5" s="606"/>
      <c r="J5" s="606"/>
      <c r="K5" s="606"/>
      <c r="L5" s="606"/>
      <c r="M5" s="606"/>
      <c r="N5" s="606"/>
      <c r="O5" s="606"/>
      <c r="P5" s="606"/>
      <c r="Q5" s="606"/>
      <c r="R5" s="606"/>
      <c r="S5" s="606"/>
      <c r="T5" s="606"/>
      <c r="U5" s="606"/>
      <c r="V5" s="606"/>
      <c r="W5" s="606"/>
      <c r="X5" s="606"/>
      <c r="Y5" s="202"/>
      <c r="Z5" s="10"/>
    </row>
    <row r="6" spans="2:26" x14ac:dyDescent="0.2">
      <c r="B6" s="10"/>
      <c r="C6" s="145"/>
      <c r="D6" s="145"/>
      <c r="E6" s="146" t="s">
        <v>353</v>
      </c>
      <c r="F6" s="145"/>
      <c r="G6" s="145"/>
      <c r="H6" s="145"/>
      <c r="I6" s="145"/>
      <c r="J6" s="1077">
        <f>Data_ProjectTitle</f>
        <v>0</v>
      </c>
      <c r="K6" s="1077"/>
      <c r="L6" s="1077"/>
      <c r="M6" s="1077"/>
      <c r="N6" s="1077"/>
      <c r="O6" s="1077"/>
      <c r="P6" s="1077"/>
      <c r="Q6" s="1077"/>
      <c r="R6" s="1077"/>
      <c r="S6" s="1077"/>
      <c r="T6" s="1077"/>
      <c r="U6" s="1077"/>
      <c r="V6" s="1077"/>
      <c r="W6" s="1077"/>
      <c r="X6" s="1077"/>
      <c r="Y6" s="145"/>
      <c r="Z6" s="10"/>
    </row>
    <row r="7" spans="2:26" x14ac:dyDescent="0.2">
      <c r="B7" s="10"/>
      <c r="C7" s="145"/>
      <c r="D7" s="145"/>
      <c r="E7" s="146" t="s">
        <v>354</v>
      </c>
      <c r="F7" s="145"/>
      <c r="G7" s="145"/>
      <c r="H7" s="145"/>
      <c r="I7" s="145"/>
      <c r="J7" s="1077">
        <f>Data_PIName</f>
        <v>0</v>
      </c>
      <c r="K7" s="1077"/>
      <c r="L7" s="1077"/>
      <c r="M7" s="1077"/>
      <c r="N7" s="1077"/>
      <c r="O7" s="1077"/>
      <c r="P7" s="1077"/>
      <c r="Q7" s="1077"/>
      <c r="R7" s="1077"/>
      <c r="S7" s="1077"/>
      <c r="T7" s="1077"/>
      <c r="U7" s="1077"/>
      <c r="V7" s="1077"/>
      <c r="W7" s="1077"/>
      <c r="X7" s="1077"/>
      <c r="Y7" s="145"/>
      <c r="Z7" s="10"/>
    </row>
    <row r="8" spans="2:26" x14ac:dyDescent="0.2">
      <c r="B8" s="10"/>
      <c r="C8" s="145"/>
      <c r="D8" s="145"/>
      <c r="E8" s="146" t="s">
        <v>218</v>
      </c>
      <c r="F8" s="145"/>
      <c r="G8" s="145"/>
      <c r="H8" s="145"/>
      <c r="I8" s="145"/>
      <c r="J8" s="1077">
        <f>Data_Agency</f>
        <v>0</v>
      </c>
      <c r="K8" s="1077"/>
      <c r="L8" s="1077"/>
      <c r="M8" s="1077"/>
      <c r="N8" s="1077"/>
      <c r="O8" s="1077"/>
      <c r="P8" s="1077"/>
      <c r="Q8" s="1077"/>
      <c r="R8" s="1077"/>
      <c r="S8" s="1077"/>
      <c r="T8" s="1077"/>
      <c r="U8" s="1077"/>
      <c r="V8" s="1077"/>
      <c r="W8" s="1077"/>
      <c r="X8" s="1077"/>
      <c r="Y8" s="145"/>
      <c r="Z8" s="10"/>
    </row>
    <row r="9" spans="2:26" x14ac:dyDescent="0.2">
      <c r="B9" s="10"/>
      <c r="C9" s="145"/>
      <c r="D9" s="145"/>
      <c r="E9" s="146" t="s">
        <v>352</v>
      </c>
      <c r="F9" s="145"/>
      <c r="G9" s="145"/>
      <c r="H9" s="1112">
        <f>IF(Data_ProjectStartDate&gt;=Var_EarliestProjectStartDate,Data_ProjectStartDate,0)</f>
        <v>0</v>
      </c>
      <c r="I9" s="1112"/>
      <c r="J9" s="1112"/>
      <c r="K9" s="1112"/>
      <c r="L9" s="145"/>
      <c r="M9" s="145"/>
      <c r="N9" s="146" t="s">
        <v>230</v>
      </c>
      <c r="O9" s="145"/>
      <c r="P9" s="145"/>
      <c r="Q9" s="1112">
        <f>IF(Data_ProjectStartDate&gt;=Var_EarliestProjectStartDate,IF(Data_ProjectEndDate&gt;Data_ProjectStartDate,Data_ProjectEndDate,0),0)</f>
        <v>0</v>
      </c>
      <c r="R9" s="1112"/>
      <c r="S9" s="1112"/>
      <c r="T9" s="1112"/>
      <c r="U9" s="1112"/>
      <c r="V9" s="145"/>
      <c r="W9" s="145"/>
      <c r="X9" s="145"/>
      <c r="Y9" s="145"/>
      <c r="Z9" s="10"/>
    </row>
    <row r="10" spans="2:26" x14ac:dyDescent="0.2">
      <c r="B10" s="10"/>
      <c r="C10" s="147"/>
      <c r="D10" s="144"/>
      <c r="E10" s="144"/>
      <c r="F10" s="144"/>
      <c r="G10" s="144"/>
      <c r="H10" s="144"/>
      <c r="I10" s="144"/>
      <c r="J10" s="144"/>
      <c r="K10" s="144"/>
      <c r="L10" s="144"/>
      <c r="M10" s="144"/>
      <c r="N10" s="144"/>
      <c r="O10" s="144"/>
      <c r="P10" s="144"/>
      <c r="Q10" s="144"/>
      <c r="R10" s="144"/>
      <c r="S10" s="144"/>
      <c r="T10" s="144"/>
      <c r="U10" s="144"/>
      <c r="V10" s="144"/>
      <c r="W10" s="144"/>
      <c r="X10" s="144"/>
      <c r="Y10" s="148"/>
      <c r="Z10" s="10"/>
    </row>
    <row r="11" spans="2:26" x14ac:dyDescent="0.2">
      <c r="B11" s="10"/>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0"/>
    </row>
    <row r="12" spans="2:26" ht="13.5" thickBot="1" x14ac:dyDescent="0.25">
      <c r="B12" s="10"/>
      <c r="C12" s="137"/>
      <c r="D12" s="142" t="s">
        <v>132</v>
      </c>
      <c r="E12" s="137"/>
      <c r="F12" s="137"/>
      <c r="G12" s="137"/>
      <c r="H12" s="137"/>
      <c r="I12" s="137"/>
      <c r="J12" s="137"/>
      <c r="K12" s="137"/>
      <c r="L12" s="137"/>
      <c r="M12" s="137"/>
      <c r="N12" s="137"/>
      <c r="O12" s="137"/>
      <c r="P12" s="137"/>
      <c r="Q12" s="137"/>
      <c r="R12" s="137"/>
      <c r="S12" s="137"/>
      <c r="T12" s="137"/>
      <c r="U12" s="137"/>
      <c r="V12" s="137"/>
      <c r="W12" s="137"/>
      <c r="X12" s="137"/>
      <c r="Y12" s="137"/>
      <c r="Z12" s="10"/>
    </row>
    <row r="13" spans="2:26" ht="15" customHeight="1" x14ac:dyDescent="0.2">
      <c r="B13" s="10"/>
      <c r="C13" s="137"/>
      <c r="D13" s="137"/>
      <c r="E13" s="137"/>
      <c r="F13" s="876" t="s">
        <v>26</v>
      </c>
      <c r="G13" s="872"/>
      <c r="H13" s="872"/>
      <c r="I13" s="872"/>
      <c r="J13" s="872"/>
      <c r="K13" s="872"/>
      <c r="L13" s="872"/>
      <c r="M13" s="872"/>
      <c r="N13" s="905"/>
      <c r="O13" s="871" t="s">
        <v>27</v>
      </c>
      <c r="P13" s="872"/>
      <c r="Q13" s="873"/>
      <c r="R13" s="137"/>
      <c r="S13" s="137"/>
      <c r="T13" s="137"/>
      <c r="U13" s="876" t="s">
        <v>117</v>
      </c>
      <c r="V13" s="872"/>
      <c r="W13" s="872"/>
      <c r="X13" s="873"/>
      <c r="Y13" s="137"/>
      <c r="Z13" s="10"/>
    </row>
    <row r="14" spans="2:26" ht="15" customHeight="1" thickBot="1" x14ac:dyDescent="0.25">
      <c r="B14" s="10"/>
      <c r="C14" s="137"/>
      <c r="D14" s="137"/>
      <c r="E14" s="137"/>
      <c r="F14" s="906"/>
      <c r="G14" s="875"/>
      <c r="H14" s="875"/>
      <c r="I14" s="875"/>
      <c r="J14" s="875"/>
      <c r="K14" s="875"/>
      <c r="L14" s="875"/>
      <c r="M14" s="875"/>
      <c r="N14" s="907"/>
      <c r="O14" s="874"/>
      <c r="P14" s="875"/>
      <c r="Q14" s="877"/>
      <c r="R14" s="137"/>
      <c r="S14" s="137"/>
      <c r="T14" s="137"/>
      <c r="U14" s="906"/>
      <c r="V14" s="875"/>
      <c r="W14" s="875"/>
      <c r="X14" s="877"/>
      <c r="Y14" s="137"/>
      <c r="Z14" s="10"/>
    </row>
    <row r="15" spans="2:26" x14ac:dyDescent="0.2">
      <c r="B15" s="10"/>
      <c r="C15" s="137"/>
      <c r="D15" s="137"/>
      <c r="E15" s="149" t="s">
        <v>91</v>
      </c>
      <c r="F15" s="988">
        <f>'Budget Period 1'!F11:K11</f>
        <v>0</v>
      </c>
      <c r="G15" s="989"/>
      <c r="H15" s="989"/>
      <c r="I15" s="989"/>
      <c r="J15" s="989"/>
      <c r="K15" s="989"/>
      <c r="L15" s="989"/>
      <c r="M15" s="989"/>
      <c r="N15" s="990"/>
      <c r="O15" s="991" t="str">
        <f>CHOOSE('Budget Period 1'!L11,"",'Drop-Down_Options'!$B$25,'Drop-Down_Options'!$B$26,'Drop-Down_Options'!$B$27,'Drop-Down_Options'!$B$28)</f>
        <v/>
      </c>
      <c r="P15" s="992"/>
      <c r="Q15" s="1108"/>
      <c r="R15" s="137"/>
      <c r="S15" s="137"/>
      <c r="T15" s="137"/>
      <c r="U15" s="1109">
        <f>('Budget Period 1'!AQ11*(1+FA_Rate_Y1)) + ('Budget Period 2'!AQ11*(1+FA_Rate_Y2)) + ('Budget Period 3'!AQ11*(1+FA_Rate_Y3)) + ('Budget Period 4'!AQ11*(1+FA_Rate_Y4)) + ('Budget Period 5'!AQ11*(1+FA_Rate_Y5)) + ('Budget Period 6'!AQ11*(1+FA_Rate_Y6))</f>
        <v>0</v>
      </c>
      <c r="V15" s="1110"/>
      <c r="W15" s="1110"/>
      <c r="X15" s="1111"/>
      <c r="Y15" s="137"/>
      <c r="Z15" s="10"/>
    </row>
    <row r="16" spans="2:26" x14ac:dyDescent="0.2">
      <c r="B16" s="10"/>
      <c r="C16" s="137"/>
      <c r="D16" s="137"/>
      <c r="E16" s="149" t="s">
        <v>92</v>
      </c>
      <c r="F16" s="899">
        <f>'Budget Period 1'!F12:K12</f>
        <v>0</v>
      </c>
      <c r="G16" s="900"/>
      <c r="H16" s="900"/>
      <c r="I16" s="900"/>
      <c r="J16" s="900"/>
      <c r="K16" s="900"/>
      <c r="L16" s="900"/>
      <c r="M16" s="900"/>
      <c r="N16" s="901"/>
      <c r="O16" s="902" t="str">
        <f>CHOOSE('Budget Period 1'!L12,"",'Drop-Down_Options'!$B$25,'Drop-Down_Options'!$B$26,'Drop-Down_Options'!$B$27,'Drop-Down_Options'!$B$28)</f>
        <v/>
      </c>
      <c r="P16" s="903"/>
      <c r="Q16" s="1084"/>
      <c r="R16" s="137"/>
      <c r="S16" s="137"/>
      <c r="T16" s="137"/>
      <c r="U16" s="1085">
        <f>('Budget Period 1'!AQ12*(1+FA_Rate_Y1)) + ('Budget Period 2'!AQ12*(1+FA_Rate_Y2)) + ('Budget Period 3'!AQ12*(1+FA_Rate_Y3)) + ('Budget Period 4'!AQ12*(1+FA_Rate_Y4)) + ('Budget Period 5'!AQ12*(1+FA_Rate_Y5)) + ('Budget Period 6'!AQ12*(1+FA_Rate_Y6))</f>
        <v>0</v>
      </c>
      <c r="V16" s="1086"/>
      <c r="W16" s="1086"/>
      <c r="X16" s="1087"/>
      <c r="Y16" s="137"/>
      <c r="Z16" s="10"/>
    </row>
    <row r="17" spans="2:26" x14ac:dyDescent="0.2">
      <c r="B17" s="10"/>
      <c r="C17" s="137"/>
      <c r="D17" s="137"/>
      <c r="E17" s="149" t="s">
        <v>93</v>
      </c>
      <c r="F17" s="899">
        <f>'Budget Period 1'!F13:K13</f>
        <v>0</v>
      </c>
      <c r="G17" s="900"/>
      <c r="H17" s="900"/>
      <c r="I17" s="900"/>
      <c r="J17" s="900"/>
      <c r="K17" s="900"/>
      <c r="L17" s="900"/>
      <c r="M17" s="900"/>
      <c r="N17" s="901"/>
      <c r="O17" s="902" t="str">
        <f>CHOOSE('Budget Period 1'!L13,"",'Drop-Down_Options'!$B$25,'Drop-Down_Options'!$B$26,'Drop-Down_Options'!$B$27,'Drop-Down_Options'!$B$28)</f>
        <v/>
      </c>
      <c r="P17" s="903"/>
      <c r="Q17" s="1084"/>
      <c r="R17" s="137"/>
      <c r="S17" s="137"/>
      <c r="T17" s="137"/>
      <c r="U17" s="1085">
        <f>('Budget Period 1'!AQ13*(1+FA_Rate_Y1)) + ('Budget Period 2'!AQ13*(1+FA_Rate_Y2)) + ('Budget Period 3'!AQ13*(1+FA_Rate_Y3)) + ('Budget Period 4'!AQ13*(1+FA_Rate_Y4)) + ('Budget Period 5'!AQ13*(1+FA_Rate_Y5)) + ('Budget Period 6'!AQ13*(1+FA_Rate_Y6))</f>
        <v>0</v>
      </c>
      <c r="V17" s="1086"/>
      <c r="W17" s="1086"/>
      <c r="X17" s="1087"/>
      <c r="Y17" s="137"/>
      <c r="Z17" s="10"/>
    </row>
    <row r="18" spans="2:26" x14ac:dyDescent="0.2">
      <c r="B18" s="10"/>
      <c r="C18" s="137"/>
      <c r="D18" s="137"/>
      <c r="E18" s="149" t="s">
        <v>94</v>
      </c>
      <c r="F18" s="899">
        <f>'Budget Period 1'!F14:K14</f>
        <v>0</v>
      </c>
      <c r="G18" s="900"/>
      <c r="H18" s="900"/>
      <c r="I18" s="900"/>
      <c r="J18" s="900"/>
      <c r="K18" s="900"/>
      <c r="L18" s="900"/>
      <c r="M18" s="900"/>
      <c r="N18" s="901"/>
      <c r="O18" s="902" t="str">
        <f>CHOOSE('Budget Period 1'!L14,"",'Drop-Down_Options'!$B$25,'Drop-Down_Options'!$B$26,'Drop-Down_Options'!$B$27,'Drop-Down_Options'!$B$28)</f>
        <v/>
      </c>
      <c r="P18" s="903"/>
      <c r="Q18" s="1084"/>
      <c r="R18" s="137"/>
      <c r="S18" s="137"/>
      <c r="T18" s="137"/>
      <c r="U18" s="1085">
        <f>('Budget Period 1'!AQ14*(1+FA_Rate_Y1)) + ('Budget Period 2'!AQ14*(1+FA_Rate_Y2)) + ('Budget Period 3'!AQ14*(1+FA_Rate_Y3)) + ('Budget Period 4'!AQ14*(1+FA_Rate_Y4)) + ('Budget Period 5'!AQ14*(1+FA_Rate_Y5)) + ('Budget Period 6'!AQ14*(1+FA_Rate_Y6))</f>
        <v>0</v>
      </c>
      <c r="V18" s="1086"/>
      <c r="W18" s="1086"/>
      <c r="X18" s="1087"/>
      <c r="Y18" s="137"/>
      <c r="Z18" s="10"/>
    </row>
    <row r="19" spans="2:26" x14ac:dyDescent="0.2">
      <c r="B19" s="10"/>
      <c r="C19" s="137"/>
      <c r="D19" s="137"/>
      <c r="E19" s="149" t="s">
        <v>95</v>
      </c>
      <c r="F19" s="899">
        <f>'Budget Period 1'!F15:K15</f>
        <v>0</v>
      </c>
      <c r="G19" s="900"/>
      <c r="H19" s="900"/>
      <c r="I19" s="900"/>
      <c r="J19" s="900"/>
      <c r="K19" s="900"/>
      <c r="L19" s="900"/>
      <c r="M19" s="900"/>
      <c r="N19" s="901"/>
      <c r="O19" s="902" t="str">
        <f>CHOOSE('Budget Period 1'!L15,"",'Drop-Down_Options'!$B$25,'Drop-Down_Options'!$B$26,'Drop-Down_Options'!$B$27,'Drop-Down_Options'!$B$28)</f>
        <v/>
      </c>
      <c r="P19" s="903"/>
      <c r="Q19" s="1084"/>
      <c r="R19" s="137"/>
      <c r="S19" s="137"/>
      <c r="T19" s="137"/>
      <c r="U19" s="1085">
        <f>('Budget Period 1'!AQ15*(1+FA_Rate_Y1)) + ('Budget Period 2'!AQ15*(1+FA_Rate_Y2)) + ('Budget Period 3'!AQ15*(1+FA_Rate_Y3)) + ('Budget Period 4'!AQ15*(1+FA_Rate_Y4)) + ('Budget Period 5'!AQ15*(1+FA_Rate_Y5)) + ('Budget Period 6'!AQ15*(1+FA_Rate_Y6))</f>
        <v>0</v>
      </c>
      <c r="V19" s="1086"/>
      <c r="W19" s="1086"/>
      <c r="X19" s="1087"/>
      <c r="Y19" s="137"/>
      <c r="Z19" s="10"/>
    </row>
    <row r="20" spans="2:26" x14ac:dyDescent="0.2">
      <c r="B20" s="10"/>
      <c r="C20" s="137"/>
      <c r="D20" s="137"/>
      <c r="E20" s="149" t="s">
        <v>96</v>
      </c>
      <c r="F20" s="899">
        <f>'Budget Period 1'!F16:K16</f>
        <v>0</v>
      </c>
      <c r="G20" s="900"/>
      <c r="H20" s="900"/>
      <c r="I20" s="900"/>
      <c r="J20" s="900"/>
      <c r="K20" s="900"/>
      <c r="L20" s="900"/>
      <c r="M20" s="900"/>
      <c r="N20" s="901"/>
      <c r="O20" s="902" t="str">
        <f>CHOOSE('Budget Period 1'!L16,"",'Drop-Down_Options'!$B$25,'Drop-Down_Options'!$B$26,'Drop-Down_Options'!$B$27,'Drop-Down_Options'!$B$28)</f>
        <v/>
      </c>
      <c r="P20" s="903"/>
      <c r="Q20" s="1084"/>
      <c r="R20" s="137"/>
      <c r="S20" s="137"/>
      <c r="T20" s="137"/>
      <c r="U20" s="1085">
        <f>('Budget Period 1'!AQ16*(1+FA_Rate_Y1)) + ('Budget Period 2'!AQ16*(1+FA_Rate_Y2)) + ('Budget Period 3'!AQ16*(1+FA_Rate_Y3)) + ('Budget Period 4'!AQ16*(1+FA_Rate_Y4)) + ('Budget Period 5'!AQ16*(1+FA_Rate_Y5)) + ('Budget Period 6'!AQ16*(1+FA_Rate_Y6))</f>
        <v>0</v>
      </c>
      <c r="V20" s="1086"/>
      <c r="W20" s="1086"/>
      <c r="X20" s="1087"/>
      <c r="Y20" s="137"/>
      <c r="Z20" s="10"/>
    </row>
    <row r="21" spans="2:26" x14ac:dyDescent="0.2">
      <c r="B21" s="10"/>
      <c r="C21" s="137"/>
      <c r="D21" s="137"/>
      <c r="E21" s="149" t="s">
        <v>97</v>
      </c>
      <c r="F21" s="899">
        <f>'Budget Period 1'!F17:K17</f>
        <v>0</v>
      </c>
      <c r="G21" s="900"/>
      <c r="H21" s="900"/>
      <c r="I21" s="900"/>
      <c r="J21" s="900"/>
      <c r="K21" s="900"/>
      <c r="L21" s="900"/>
      <c r="M21" s="900"/>
      <c r="N21" s="901"/>
      <c r="O21" s="902" t="str">
        <f>CHOOSE('Budget Period 1'!L17,"",'Drop-Down_Options'!$B$25,'Drop-Down_Options'!$B$26,'Drop-Down_Options'!$B$27,'Drop-Down_Options'!$B$28)</f>
        <v/>
      </c>
      <c r="P21" s="903"/>
      <c r="Q21" s="1084"/>
      <c r="R21" s="137"/>
      <c r="S21" s="137"/>
      <c r="T21" s="137"/>
      <c r="U21" s="1085">
        <f>('Budget Period 1'!AQ17*(1+FA_Rate_Y1)) + ('Budget Period 2'!AQ17*(1+FA_Rate_Y2)) + ('Budget Period 3'!AQ17*(1+FA_Rate_Y3)) + ('Budget Period 4'!AQ17*(1+FA_Rate_Y4)) + ('Budget Period 5'!AQ17*(1+FA_Rate_Y5)) + ('Budget Period 6'!AQ17*(1+FA_Rate_Y6))</f>
        <v>0</v>
      </c>
      <c r="V21" s="1086"/>
      <c r="W21" s="1086"/>
      <c r="X21" s="1087"/>
      <c r="Y21" s="137"/>
      <c r="Z21" s="10"/>
    </row>
    <row r="22" spans="2:26" x14ac:dyDescent="0.2">
      <c r="B22" s="10"/>
      <c r="C22" s="137"/>
      <c r="D22" s="137"/>
      <c r="E22" s="149" t="s">
        <v>98</v>
      </c>
      <c r="F22" s="899">
        <f>'Budget Period 1'!F18:K18</f>
        <v>0</v>
      </c>
      <c r="G22" s="900"/>
      <c r="H22" s="900"/>
      <c r="I22" s="900"/>
      <c r="J22" s="900"/>
      <c r="K22" s="900"/>
      <c r="L22" s="900"/>
      <c r="M22" s="900"/>
      <c r="N22" s="901"/>
      <c r="O22" s="902" t="str">
        <f>CHOOSE('Budget Period 1'!L18,"",'Drop-Down_Options'!$B$25,'Drop-Down_Options'!$B$26,'Drop-Down_Options'!$B$27,'Drop-Down_Options'!$B$28)</f>
        <v/>
      </c>
      <c r="P22" s="903"/>
      <c r="Q22" s="1084"/>
      <c r="R22" s="137"/>
      <c r="S22" s="137"/>
      <c r="T22" s="137"/>
      <c r="U22" s="1085">
        <f>('Budget Period 1'!AQ18*(1+FA_Rate_Y1)) + ('Budget Period 2'!AQ18*(1+FA_Rate_Y2)) + ('Budget Period 3'!AQ18*(1+FA_Rate_Y3)) + ('Budget Period 4'!AQ18*(1+FA_Rate_Y4)) + ('Budget Period 5'!AQ18*(1+FA_Rate_Y5)) + ('Budget Period 6'!AQ18*(1+FA_Rate_Y6))</f>
        <v>0</v>
      </c>
      <c r="V22" s="1086"/>
      <c r="W22" s="1086"/>
      <c r="X22" s="1087"/>
      <c r="Y22" s="137"/>
      <c r="Z22" s="10"/>
    </row>
    <row r="23" spans="2:26" x14ac:dyDescent="0.2">
      <c r="B23" s="10"/>
      <c r="C23" s="137"/>
      <c r="D23" s="137"/>
      <c r="E23" s="149" t="s">
        <v>99</v>
      </c>
      <c r="F23" s="899">
        <f>'Budget Period 1'!F19:K19</f>
        <v>0</v>
      </c>
      <c r="G23" s="900"/>
      <c r="H23" s="900"/>
      <c r="I23" s="900"/>
      <c r="J23" s="900"/>
      <c r="K23" s="900"/>
      <c r="L23" s="900"/>
      <c r="M23" s="900"/>
      <c r="N23" s="901"/>
      <c r="O23" s="902" t="str">
        <f>CHOOSE('Budget Period 1'!L19,"",'Drop-Down_Options'!$B$25,'Drop-Down_Options'!$B$26,'Drop-Down_Options'!$B$27,'Drop-Down_Options'!$B$28)</f>
        <v/>
      </c>
      <c r="P23" s="903"/>
      <c r="Q23" s="1084"/>
      <c r="R23" s="137"/>
      <c r="S23" s="137"/>
      <c r="T23" s="137"/>
      <c r="U23" s="1085">
        <f>('Budget Period 1'!AQ19*(1+FA_Rate_Y1)) + ('Budget Period 2'!AQ19*(1+FA_Rate_Y2)) + ('Budget Period 3'!AQ19*(1+FA_Rate_Y3)) + ('Budget Period 4'!AQ19*(1+FA_Rate_Y4)) + ('Budget Period 5'!AQ19*(1+FA_Rate_Y5)) + ('Budget Period 6'!AQ19*(1+FA_Rate_Y6))</f>
        <v>0</v>
      </c>
      <c r="V23" s="1086"/>
      <c r="W23" s="1086"/>
      <c r="X23" s="1087"/>
      <c r="Y23" s="137"/>
      <c r="Z23" s="10"/>
    </row>
    <row r="24" spans="2:26" x14ac:dyDescent="0.2">
      <c r="B24" s="10"/>
      <c r="C24" s="137"/>
      <c r="D24" s="137"/>
      <c r="E24" s="149" t="s">
        <v>141</v>
      </c>
      <c r="F24" s="899">
        <f>'Budget Period 1'!F20:K20</f>
        <v>0</v>
      </c>
      <c r="G24" s="900"/>
      <c r="H24" s="900"/>
      <c r="I24" s="900"/>
      <c r="J24" s="900"/>
      <c r="K24" s="900"/>
      <c r="L24" s="900"/>
      <c r="M24" s="900"/>
      <c r="N24" s="901"/>
      <c r="O24" s="902" t="str">
        <f>CHOOSE('Budget Period 1'!L20,"",'Drop-Down_Options'!$B$25,'Drop-Down_Options'!$B$26,'Drop-Down_Options'!$B$27,'Drop-Down_Options'!$B$28)</f>
        <v/>
      </c>
      <c r="P24" s="903"/>
      <c r="Q24" s="1084"/>
      <c r="R24" s="137"/>
      <c r="S24" s="137"/>
      <c r="T24" s="137"/>
      <c r="U24" s="1085">
        <f>('Budget Period 1'!AQ20*(1+FA_Rate_Y1)) + ('Budget Period 2'!AQ20*(1+FA_Rate_Y2)) + ('Budget Period 3'!AQ20*(1+FA_Rate_Y3)) + ('Budget Period 4'!AQ20*(1+FA_Rate_Y4)) + ('Budget Period 5'!AQ20*(1+FA_Rate_Y5)) + ('Budget Period 6'!AQ20*(1+FA_Rate_Y6))</f>
        <v>0</v>
      </c>
      <c r="V24" s="1086"/>
      <c r="W24" s="1086"/>
      <c r="X24" s="1087"/>
      <c r="Y24" s="137"/>
      <c r="Z24" s="10"/>
    </row>
    <row r="25" spans="2:26" x14ac:dyDescent="0.2">
      <c r="B25" s="10"/>
      <c r="C25" s="137"/>
      <c r="D25" s="137"/>
      <c r="E25" s="149" t="s">
        <v>100</v>
      </c>
      <c r="F25" s="899">
        <f>'Budget Period 1'!F21:K21</f>
        <v>0</v>
      </c>
      <c r="G25" s="900"/>
      <c r="H25" s="900"/>
      <c r="I25" s="900"/>
      <c r="J25" s="900"/>
      <c r="K25" s="900"/>
      <c r="L25" s="900"/>
      <c r="M25" s="900"/>
      <c r="N25" s="901"/>
      <c r="O25" s="902" t="str">
        <f>CHOOSE('Budget Period 1'!L21,"",'Drop-Down_Options'!$B$25,'Drop-Down_Options'!$B$26,'Drop-Down_Options'!$B$27,'Drop-Down_Options'!$B$28)</f>
        <v/>
      </c>
      <c r="P25" s="903"/>
      <c r="Q25" s="1084"/>
      <c r="R25" s="137"/>
      <c r="S25" s="137"/>
      <c r="T25" s="137"/>
      <c r="U25" s="1085">
        <f>('Budget Period 1'!AQ21*(1+FA_Rate_Y1)) + ('Budget Period 2'!AQ21*(1+FA_Rate_Y2)) + ('Budget Period 3'!AQ21*(1+FA_Rate_Y3)) + ('Budget Period 4'!AQ21*(1+FA_Rate_Y4)) + ('Budget Period 5'!AQ21*(1+FA_Rate_Y5)) + ('Budget Period 6'!AQ21*(1+FA_Rate_Y6))</f>
        <v>0</v>
      </c>
      <c r="V25" s="1086"/>
      <c r="W25" s="1086"/>
      <c r="X25" s="1087"/>
      <c r="Y25" s="137"/>
      <c r="Z25" s="10"/>
    </row>
    <row r="26" spans="2:26" x14ac:dyDescent="0.2">
      <c r="B26" s="10"/>
      <c r="C26" s="137"/>
      <c r="D26" s="137"/>
      <c r="E26" s="149" t="s">
        <v>101</v>
      </c>
      <c r="F26" s="899">
        <f>'Budget Period 1'!F22:K22</f>
        <v>0</v>
      </c>
      <c r="G26" s="900"/>
      <c r="H26" s="900"/>
      <c r="I26" s="900"/>
      <c r="J26" s="900"/>
      <c r="K26" s="900"/>
      <c r="L26" s="900"/>
      <c r="M26" s="900"/>
      <c r="N26" s="901"/>
      <c r="O26" s="902" t="str">
        <f>CHOOSE('Budget Period 1'!L22,"",'Drop-Down_Options'!$B$25,'Drop-Down_Options'!$B$26,'Drop-Down_Options'!$B$27,'Drop-Down_Options'!$B$28)</f>
        <v/>
      </c>
      <c r="P26" s="903"/>
      <c r="Q26" s="1084"/>
      <c r="R26" s="137"/>
      <c r="S26" s="137"/>
      <c r="T26" s="137"/>
      <c r="U26" s="1085">
        <f>('Budget Period 1'!AQ22*(1+FA_Rate_Y1)) + ('Budget Period 2'!AQ22*(1+FA_Rate_Y2)) + ('Budget Period 3'!AQ22*(1+FA_Rate_Y3)) + ('Budget Period 4'!AQ22*(1+FA_Rate_Y4)) + ('Budget Period 5'!AQ22*(1+FA_Rate_Y5)) + ('Budget Period 6'!AQ22*(1+FA_Rate_Y6))</f>
        <v>0</v>
      </c>
      <c r="V26" s="1086"/>
      <c r="W26" s="1086"/>
      <c r="X26" s="1087"/>
      <c r="Y26" s="137"/>
      <c r="Z26" s="10"/>
    </row>
    <row r="27" spans="2:26" x14ac:dyDescent="0.2">
      <c r="B27" s="10"/>
      <c r="C27" s="137"/>
      <c r="D27" s="137"/>
      <c r="E27" s="149" t="s">
        <v>102</v>
      </c>
      <c r="F27" s="899">
        <f>'Budget Period 1'!F23:K23</f>
        <v>0</v>
      </c>
      <c r="G27" s="900"/>
      <c r="H27" s="900"/>
      <c r="I27" s="900"/>
      <c r="J27" s="900"/>
      <c r="K27" s="900"/>
      <c r="L27" s="900"/>
      <c r="M27" s="900"/>
      <c r="N27" s="901"/>
      <c r="O27" s="902" t="str">
        <f>CHOOSE('Budget Period 1'!L23,"",'Drop-Down_Options'!$B$25,'Drop-Down_Options'!$B$26,'Drop-Down_Options'!$B$27,'Drop-Down_Options'!$B$28)</f>
        <v/>
      </c>
      <c r="P27" s="903"/>
      <c r="Q27" s="1084"/>
      <c r="R27" s="137"/>
      <c r="S27" s="137"/>
      <c r="T27" s="137"/>
      <c r="U27" s="1085">
        <f>('Budget Period 1'!AQ23*(1+FA_Rate_Y1)) + ('Budget Period 2'!AQ23*(1+FA_Rate_Y2)) + ('Budget Period 3'!AQ23*(1+FA_Rate_Y3)) + ('Budget Period 4'!AQ23*(1+FA_Rate_Y4)) + ('Budget Period 5'!AQ23*(1+FA_Rate_Y5)) + ('Budget Period 6'!AQ23*(1+FA_Rate_Y6))</f>
        <v>0</v>
      </c>
      <c r="V27" s="1086"/>
      <c r="W27" s="1086"/>
      <c r="X27" s="1087"/>
      <c r="Y27" s="137"/>
      <c r="Z27" s="10"/>
    </row>
    <row r="28" spans="2:26" x14ac:dyDescent="0.2">
      <c r="B28" s="10"/>
      <c r="C28" s="137"/>
      <c r="D28" s="137"/>
      <c r="E28" s="149" t="s">
        <v>103</v>
      </c>
      <c r="F28" s="899">
        <f>'Budget Period 1'!F24:K24</f>
        <v>0</v>
      </c>
      <c r="G28" s="900"/>
      <c r="H28" s="900"/>
      <c r="I28" s="900"/>
      <c r="J28" s="900"/>
      <c r="K28" s="900"/>
      <c r="L28" s="900"/>
      <c r="M28" s="900"/>
      <c r="N28" s="901"/>
      <c r="O28" s="902" t="str">
        <f>CHOOSE('Budget Period 1'!L24,"",'Drop-Down_Options'!$B$25,'Drop-Down_Options'!$B$26,'Drop-Down_Options'!$B$27,'Drop-Down_Options'!$B$28)</f>
        <v/>
      </c>
      <c r="P28" s="903"/>
      <c r="Q28" s="1084"/>
      <c r="R28" s="137"/>
      <c r="S28" s="137"/>
      <c r="T28" s="137"/>
      <c r="U28" s="1085">
        <f>('Budget Period 1'!AQ24*(1+FA_Rate_Y1)) + ('Budget Period 2'!AQ24*(1+FA_Rate_Y2)) + ('Budget Period 3'!AQ24*(1+FA_Rate_Y3)) + ('Budget Period 4'!AQ24*(1+FA_Rate_Y4)) + ('Budget Period 5'!AQ24*(1+FA_Rate_Y5)) + ('Budget Period 6'!AQ24*(1+FA_Rate_Y6))</f>
        <v>0</v>
      </c>
      <c r="V28" s="1086"/>
      <c r="W28" s="1086"/>
      <c r="X28" s="1087"/>
      <c r="Y28" s="137"/>
      <c r="Z28" s="10"/>
    </row>
    <row r="29" spans="2:26" x14ac:dyDescent="0.2">
      <c r="B29" s="10"/>
      <c r="C29" s="137"/>
      <c r="D29" s="137"/>
      <c r="E29" s="149" t="s">
        <v>104</v>
      </c>
      <c r="F29" s="899">
        <f>'Budget Period 1'!F25:K25</f>
        <v>0</v>
      </c>
      <c r="G29" s="900"/>
      <c r="H29" s="900"/>
      <c r="I29" s="900"/>
      <c r="J29" s="900"/>
      <c r="K29" s="900"/>
      <c r="L29" s="900"/>
      <c r="M29" s="900"/>
      <c r="N29" s="901"/>
      <c r="O29" s="902" t="str">
        <f>CHOOSE('Budget Period 1'!L25,"",'Drop-Down_Options'!$B$25,'Drop-Down_Options'!$B$26,'Drop-Down_Options'!$B$27,'Drop-Down_Options'!$B$28)</f>
        <v/>
      </c>
      <c r="P29" s="903"/>
      <c r="Q29" s="1084"/>
      <c r="R29" s="137"/>
      <c r="S29" s="137"/>
      <c r="T29" s="137"/>
      <c r="U29" s="1085">
        <f>('Budget Period 1'!AQ25*(1+FA_Rate_Y1)) + ('Budget Period 2'!AQ25*(1+FA_Rate_Y2)) + ('Budget Period 3'!AQ25*(1+FA_Rate_Y3)) + ('Budget Period 4'!AQ25*(1+FA_Rate_Y4)) + ('Budget Period 5'!AQ25*(1+FA_Rate_Y5)) + ('Budget Period 6'!AQ25*(1+FA_Rate_Y6))</f>
        <v>0</v>
      </c>
      <c r="V29" s="1086"/>
      <c r="W29" s="1086"/>
      <c r="X29" s="1087"/>
      <c r="Y29" s="137"/>
      <c r="Z29" s="10"/>
    </row>
    <row r="30" spans="2:26" x14ac:dyDescent="0.2">
      <c r="B30" s="10"/>
      <c r="C30" s="137"/>
      <c r="D30" s="137"/>
      <c r="E30" s="149" t="s">
        <v>105</v>
      </c>
      <c r="F30" s="899">
        <f>'Budget Period 1'!F26:K26</f>
        <v>0</v>
      </c>
      <c r="G30" s="900"/>
      <c r="H30" s="900"/>
      <c r="I30" s="900"/>
      <c r="J30" s="900"/>
      <c r="K30" s="900"/>
      <c r="L30" s="900"/>
      <c r="M30" s="900"/>
      <c r="N30" s="901"/>
      <c r="O30" s="902" t="str">
        <f>CHOOSE('Budget Period 1'!L26,"",'Drop-Down_Options'!$B$25,'Drop-Down_Options'!$B$26,'Drop-Down_Options'!$B$27,'Drop-Down_Options'!$B$28)</f>
        <v/>
      </c>
      <c r="P30" s="903"/>
      <c r="Q30" s="1084"/>
      <c r="R30" s="137"/>
      <c r="S30" s="137"/>
      <c r="T30" s="137"/>
      <c r="U30" s="1085">
        <f>('Budget Period 1'!AQ26*(1+FA_Rate_Y1)) + ('Budget Period 2'!AQ26*(1+FA_Rate_Y2)) + ('Budget Period 3'!AQ26*(1+FA_Rate_Y3)) + ('Budget Period 4'!AQ26*(1+FA_Rate_Y4)) + ('Budget Period 5'!AQ26*(1+FA_Rate_Y5)) + ('Budget Period 6'!AQ26*(1+FA_Rate_Y6))</f>
        <v>0</v>
      </c>
      <c r="V30" s="1086"/>
      <c r="W30" s="1086"/>
      <c r="X30" s="1087"/>
      <c r="Y30" s="137"/>
      <c r="Z30" s="10"/>
    </row>
    <row r="31" spans="2:26" x14ac:dyDescent="0.2">
      <c r="B31" s="10"/>
      <c r="C31" s="137"/>
      <c r="D31" s="137"/>
      <c r="E31" s="149" t="s">
        <v>106</v>
      </c>
      <c r="F31" s="899">
        <f>'Budget Period 1'!F27:K27</f>
        <v>0</v>
      </c>
      <c r="G31" s="900"/>
      <c r="H31" s="900"/>
      <c r="I31" s="900"/>
      <c r="J31" s="900"/>
      <c r="K31" s="900"/>
      <c r="L31" s="900"/>
      <c r="M31" s="900"/>
      <c r="N31" s="901"/>
      <c r="O31" s="902" t="str">
        <f>CHOOSE('Budget Period 1'!L27,"",'Drop-Down_Options'!$B$25,'Drop-Down_Options'!$B$26,'Drop-Down_Options'!$B$27,'Drop-Down_Options'!$B$28)</f>
        <v/>
      </c>
      <c r="P31" s="903"/>
      <c r="Q31" s="1084"/>
      <c r="R31" s="137"/>
      <c r="S31" s="137"/>
      <c r="T31" s="137"/>
      <c r="U31" s="1085">
        <f>('Budget Period 1'!AQ27*(1+FA_Rate_Y1)) + ('Budget Period 2'!AQ27*(1+FA_Rate_Y2)) + ('Budget Period 3'!AQ27*(1+FA_Rate_Y3)) + ('Budget Period 4'!AQ27*(1+FA_Rate_Y4)) + ('Budget Period 5'!AQ27*(1+FA_Rate_Y5)) + ('Budget Period 6'!AQ27*(1+FA_Rate_Y6))</f>
        <v>0</v>
      </c>
      <c r="V31" s="1086"/>
      <c r="W31" s="1086"/>
      <c r="X31" s="1087"/>
      <c r="Y31" s="137"/>
      <c r="Z31" s="10"/>
    </row>
    <row r="32" spans="2:26" x14ac:dyDescent="0.2">
      <c r="B32" s="10"/>
      <c r="C32" s="137"/>
      <c r="D32" s="137"/>
      <c r="E32" s="149" t="s">
        <v>107</v>
      </c>
      <c r="F32" s="899">
        <f>'Budget Period 1'!F28:K28</f>
        <v>0</v>
      </c>
      <c r="G32" s="900"/>
      <c r="H32" s="900"/>
      <c r="I32" s="900"/>
      <c r="J32" s="900"/>
      <c r="K32" s="900"/>
      <c r="L32" s="900"/>
      <c r="M32" s="900"/>
      <c r="N32" s="901"/>
      <c r="O32" s="902" t="str">
        <f>CHOOSE('Budget Period 1'!L28,"",'Drop-Down_Options'!$B$25,'Drop-Down_Options'!$B$26,'Drop-Down_Options'!$B$27,'Drop-Down_Options'!$B$28)</f>
        <v/>
      </c>
      <c r="P32" s="903"/>
      <c r="Q32" s="1084"/>
      <c r="R32" s="137"/>
      <c r="S32" s="137"/>
      <c r="T32" s="137"/>
      <c r="U32" s="1085">
        <f>('Budget Period 1'!AQ28*(1+FA_Rate_Y1)) + ('Budget Period 2'!AQ28*(1+FA_Rate_Y2)) + ('Budget Period 3'!AQ28*(1+FA_Rate_Y3)) + ('Budget Period 4'!AQ28*(1+FA_Rate_Y4)) + ('Budget Period 5'!AQ28*(1+FA_Rate_Y5)) + ('Budget Period 6'!AQ28*(1+FA_Rate_Y6))</f>
        <v>0</v>
      </c>
      <c r="V32" s="1086"/>
      <c r="W32" s="1086"/>
      <c r="X32" s="1087"/>
      <c r="Y32" s="137"/>
      <c r="Z32" s="10"/>
    </row>
    <row r="33" spans="2:26" x14ac:dyDescent="0.2">
      <c r="B33" s="10"/>
      <c r="C33" s="137"/>
      <c r="D33" s="137"/>
      <c r="E33" s="149" t="s">
        <v>108</v>
      </c>
      <c r="F33" s="899">
        <f>'Budget Period 1'!F29:K29</f>
        <v>0</v>
      </c>
      <c r="G33" s="900"/>
      <c r="H33" s="900"/>
      <c r="I33" s="900"/>
      <c r="J33" s="900"/>
      <c r="K33" s="900"/>
      <c r="L33" s="900"/>
      <c r="M33" s="900"/>
      <c r="N33" s="901"/>
      <c r="O33" s="902" t="str">
        <f>CHOOSE('Budget Period 1'!L29,"",'Drop-Down_Options'!$B$25,'Drop-Down_Options'!$B$26,'Drop-Down_Options'!$B$27,'Drop-Down_Options'!$B$28)</f>
        <v/>
      </c>
      <c r="P33" s="903"/>
      <c r="Q33" s="1084"/>
      <c r="R33" s="137"/>
      <c r="S33" s="137"/>
      <c r="T33" s="137"/>
      <c r="U33" s="1085">
        <f>('Budget Period 1'!AQ29*(1+FA_Rate_Y1)) + ('Budget Period 2'!AQ29*(1+FA_Rate_Y2)) + ('Budget Period 3'!AQ29*(1+FA_Rate_Y3)) + ('Budget Period 4'!AQ29*(1+FA_Rate_Y4)) + ('Budget Period 5'!AQ29*(1+FA_Rate_Y5)) + ('Budget Period 6'!AQ29*(1+FA_Rate_Y6))</f>
        <v>0</v>
      </c>
      <c r="V33" s="1086"/>
      <c r="W33" s="1086"/>
      <c r="X33" s="1087"/>
      <c r="Y33" s="137"/>
      <c r="Z33" s="10"/>
    </row>
    <row r="34" spans="2:26" ht="13.5" thickBot="1" x14ac:dyDescent="0.25">
      <c r="B34" s="10"/>
      <c r="C34" s="137"/>
      <c r="D34" s="137"/>
      <c r="E34" s="149" t="s">
        <v>109</v>
      </c>
      <c r="F34" s="909">
        <f>'Budget Period 1'!F30:K30</f>
        <v>0</v>
      </c>
      <c r="G34" s="910"/>
      <c r="H34" s="910"/>
      <c r="I34" s="910"/>
      <c r="J34" s="910"/>
      <c r="K34" s="910"/>
      <c r="L34" s="910"/>
      <c r="M34" s="910"/>
      <c r="N34" s="911"/>
      <c r="O34" s="919" t="str">
        <f>CHOOSE('Budget Period 1'!L30,"",'Drop-Down_Options'!$B$25,'Drop-Down_Options'!$B$26,'Drop-Down_Options'!$B$27,'Drop-Down_Options'!$B$28)</f>
        <v/>
      </c>
      <c r="P34" s="920"/>
      <c r="Q34" s="1101"/>
      <c r="R34" s="137"/>
      <c r="S34" s="137"/>
      <c r="T34" s="137"/>
      <c r="U34" s="1102">
        <f>('Budget Period 1'!AQ30*(1+FA_Rate_Y1)) + ('Budget Period 2'!AQ30*(1+FA_Rate_Y2)) + ('Budget Period 3'!AQ30*(1+FA_Rate_Y3)) + ('Budget Period 4'!AQ30*(1+FA_Rate_Y4)) + ('Budget Period 5'!AQ30*(1+FA_Rate_Y5)) + ('Budget Period 6'!AQ30*(1+FA_Rate_Y6))</f>
        <v>0</v>
      </c>
      <c r="V34" s="1103"/>
      <c r="W34" s="1103"/>
      <c r="X34" s="1104"/>
      <c r="Y34" s="137"/>
      <c r="Z34" s="10"/>
    </row>
    <row r="35" spans="2:26" ht="13.5" thickBot="1" x14ac:dyDescent="0.25">
      <c r="B35" s="10"/>
      <c r="C35" s="137"/>
      <c r="D35" s="137"/>
      <c r="E35" s="149"/>
      <c r="F35" s="140"/>
      <c r="G35" s="140"/>
      <c r="H35" s="140"/>
      <c r="I35" s="140"/>
      <c r="J35" s="140"/>
      <c r="K35" s="140"/>
      <c r="L35" s="172"/>
      <c r="M35" s="172"/>
      <c r="N35" s="172"/>
      <c r="O35" s="177"/>
      <c r="P35" s="177"/>
      <c r="Q35" s="177"/>
      <c r="R35" s="177"/>
      <c r="S35" s="137"/>
      <c r="T35" s="137"/>
      <c r="U35" s="179"/>
      <c r="V35" s="179"/>
      <c r="W35" s="179"/>
      <c r="X35" s="179"/>
      <c r="Y35" s="137"/>
      <c r="Z35" s="10"/>
    </row>
    <row r="36" spans="2:26" ht="13.5" customHeight="1" thickBot="1" x14ac:dyDescent="0.25">
      <c r="B36" s="10"/>
      <c r="C36" s="164"/>
      <c r="D36" s="142" t="s">
        <v>350</v>
      </c>
      <c r="E36" s="137"/>
      <c r="F36" s="137"/>
      <c r="G36" s="137"/>
      <c r="H36" s="137"/>
      <c r="I36" s="137"/>
      <c r="J36" s="137"/>
      <c r="K36" s="137"/>
      <c r="L36" s="137"/>
      <c r="M36" s="137"/>
      <c r="N36" s="137"/>
      <c r="O36" s="1098" t="s">
        <v>471</v>
      </c>
      <c r="P36" s="1099"/>
      <c r="Q36" s="1100"/>
      <c r="R36" s="137"/>
      <c r="S36" s="137"/>
      <c r="T36" s="137"/>
      <c r="U36" s="876" t="s">
        <v>349</v>
      </c>
      <c r="V36" s="872"/>
      <c r="W36" s="872"/>
      <c r="X36" s="873"/>
      <c r="Y36" s="137"/>
      <c r="Z36" s="10"/>
    </row>
    <row r="37" spans="2:26" x14ac:dyDescent="0.2">
      <c r="B37" s="10"/>
      <c r="C37" s="164"/>
      <c r="D37" s="137"/>
      <c r="E37" s="137"/>
      <c r="F37" s="1088" t="s">
        <v>472</v>
      </c>
      <c r="G37" s="1088"/>
      <c r="H37" s="1088"/>
      <c r="I37" s="1088"/>
      <c r="J37" s="1088"/>
      <c r="K37" s="1088"/>
      <c r="L37" s="1088"/>
      <c r="M37" s="1088"/>
      <c r="N37" s="137"/>
      <c r="O37" s="893">
        <f>COUNTA(F15:N34)-COUNT(F15:N34)</f>
        <v>0</v>
      </c>
      <c r="P37" s="894"/>
      <c r="Q37" s="895"/>
      <c r="R37" s="137"/>
      <c r="S37" s="137"/>
      <c r="T37" s="137"/>
      <c r="U37" s="1095">
        <f>SUM(U15:X34)</f>
        <v>0</v>
      </c>
      <c r="V37" s="1096"/>
      <c r="W37" s="1096"/>
      <c r="X37" s="1097"/>
      <c r="Y37" s="169"/>
      <c r="Z37" s="10"/>
    </row>
    <row r="38" spans="2:26" x14ac:dyDescent="0.2">
      <c r="B38" s="10"/>
      <c r="C38" s="137"/>
      <c r="D38" s="137"/>
      <c r="E38" s="137"/>
      <c r="F38" s="1088" t="s">
        <v>473</v>
      </c>
      <c r="G38" s="1088"/>
      <c r="H38" s="1088"/>
      <c r="I38" s="1088"/>
      <c r="J38" s="1088"/>
      <c r="K38" s="1088"/>
      <c r="L38" s="1088"/>
      <c r="M38" s="1088"/>
      <c r="N38" s="137"/>
      <c r="O38" s="965">
        <f>SUM('Budget Period 1'!AB36*(CHOOSE(Calc!F55,0,1,1,1,1,0.5,0.5)),'Budget Period 1'!AB37*(CHOOSE(Calc!F56,0,1,1,1,1,0.5,0.5)),'Budget Period 1'!AB38*(CHOOSE(Calc!F57,0,1,1,1,1,0.5,0.5)),'Budget Period 1'!AB39*(CHOOSE(Calc!F58,0,1,1,1,1,0.5,0.5)),'Budget Period 1'!AB40*(CHOOSE(Calc!F59,0,1,1,1,1,0.5,0.5)),'Budget Period 2'!AB36*(CHOOSE(Calc!F60,0,1,1,1,1,0.5,0.5)),'Budget Period 2'!AB37*(CHOOSE(Calc!F61,0,1,1,1,1,0.5,0.5)),'Budget Period 2'!AB38*(CHOOSE(Calc!F62,0,1,1,1,1,0.5,0.5)),'Budget Period 2'!AB39*(CHOOSE(Calc!F63,0,1,1,1,1,0.5,0.5)),'Budget Period 2'!AB40*(CHOOSE(Calc!F64,0,1,1,1,1,0.5,0.5)),'Budget Period 3'!AB36*(CHOOSE(Calc!F65,0,1,1,1,1,0.5,0.5)),'Budget Period 3'!AB37*(CHOOSE(Calc!F66,0,1,1,1,1,0.5,0.5)),'Budget Period 3'!AB38*(CHOOSE(Calc!F67,0,1,1,1,1,0.5,0.5)),'Budget Period 3'!AB39*(CHOOSE(Calc!F68,0,1,1,1,1,0.5,0.5)),'Budget Period 3'!AB40*(CHOOSE(Calc!F69,0,1,1,1,1,0.5,0.5)),'Budget Period 4'!AB36*(CHOOSE(Calc!F70,0,1,1,1,1,0.5,0.5)),'Budget Period 4'!AB37*(CHOOSE(Calc!F71,0,1,1,1,1,0.5,0.5)),'Budget Period 4'!AB38*(CHOOSE(Calc!F72,0,1,1,1,1,0.5,0.5)),'Budget Period 4'!AB39*(CHOOSE(Calc!F73,0,1,1,1,1,0.5,0.5)),'Budget Period 4'!AB40*(CHOOSE(Calc!F74,0,1,1,1,1,0.5,0.5)),'Budget Period 5'!AB36*(CHOOSE(Calc!F75,0,1,1,1,1,0.5,0.5)),'Budget Period 5'!AB37*(CHOOSE(Calc!F76,0,1,1,1,1,0.5,0.5)),'Budget Period 5'!AB38*(CHOOSE(Calc!F77,0,1,1,1,1,0.5,0.5)),'Budget Period 5'!AB39*(CHOOSE(Calc!F78,0,1,1,1,1,0.5,0.5)),'Budget Period 5'!AB40*(CHOOSE(Calc!F79,0,1,1,1,1,0.5,0.5)),'Budget Period 6'!AB36*(CHOOSE(Calc!F80,0,1,1,1,1,0.5,0.5)),'Budget Period 6'!AB37*(CHOOSE(Calc!F81,0,1,1,1,1,0.5,0.5)),'Budget Period 6'!AB38*(CHOOSE(Calc!F82,0,1,1,1,1,0.5,0.5)),'Budget Period 6'!AB39*(CHOOSE(Calc!F83,0,1,1,1,1,0.5,0.5)),'Budget Period 6'!AB40*(CHOOSE(Calc!F84,0,1,1,1,1,0.5,0.5)))</f>
        <v>0</v>
      </c>
      <c r="P38" s="966"/>
      <c r="Q38" s="967"/>
      <c r="R38" s="137"/>
      <c r="S38" s="137"/>
      <c r="T38" s="160"/>
      <c r="U38" s="1105">
        <f>SUM(Result_GradAsstSalary_Y1*(1+FA_Rate_Y1), Result_GradAsstSalary_Y2*(1+FA_Rate_Y2), Result_GradAsstSalary_Y3*(1+FA_Rate_Y3), Result_GradAsstSalary_Y4*(1+FA_Rate_Y4), Result_GradAsstSalary_Y5*(1+FA_Rate_Y5), Result_GradAsstSalary_Y6*(1+FA_Rate_Y6)) + SUM(Result_GradAsstFringe_Y1*(1+FA_Rate_Y1), Result_GradAsstFringe_Y2*(1+FA_Rate_Y2), Result_GradAsstFringe_Y3*(1+FA_Rate_Y3), Result_GradAsstFringe_Y4*(1+FA_Rate_Y4), Result_GradAsstFringe_Y5*(1+FA_Rate_Y5), Result_GradAsstFringe_Y6*(1+FA_Rate_Y6)) + SUM(Result_TuitionTOTAL_Y1, Result_TuitionTOTAL_Y2, Result_TuitionTOTAL_Y3, Result_TuitionTOTAL_Y4, Result_TuitionTOTAL_Y5, Result_TuitionTOTAL_Y6)</f>
        <v>0</v>
      </c>
      <c r="V38" s="1106"/>
      <c r="W38" s="1106"/>
      <c r="X38" s="1107"/>
      <c r="Y38" s="137"/>
      <c r="Z38" s="10"/>
    </row>
    <row r="39" spans="2:26" ht="13.5" customHeight="1" thickBot="1" x14ac:dyDescent="0.25">
      <c r="B39" s="10"/>
      <c r="C39" s="137"/>
      <c r="D39" s="137"/>
      <c r="E39" s="137"/>
      <c r="F39" s="1088" t="s">
        <v>474</v>
      </c>
      <c r="G39" s="1088"/>
      <c r="H39" s="1088"/>
      <c r="I39" s="1088"/>
      <c r="J39" s="1088"/>
      <c r="K39" s="1088"/>
      <c r="L39" s="1088"/>
      <c r="M39" s="1088"/>
      <c r="N39" s="137"/>
      <c r="O39" s="965">
        <f>SUM('Budget Period 1'!U46:W50, 'Budget Period 2'!U46:W50, 'Budget Period 3'!U46:W50, 'Budget Period 4'!U46:W50, 'Budget Period 5'!U46:W50, 'Budget Period 6'!U46:W50)</f>
        <v>0</v>
      </c>
      <c r="P39" s="966"/>
      <c r="Q39" s="967"/>
      <c r="R39" s="137"/>
      <c r="S39" s="137"/>
      <c r="T39" s="137"/>
      <c r="U39" s="1092">
        <f>SUM(Result_StudentSalary_Y1*(1+FA_Rate_Y1), Result_StudentSalary_Y2*(1+FA_Rate_Y2), Result_StudentSalary_Y3*(1+FA_Rate_Y3), Result_StudentSalary_Y4*(1+FA_Rate_Y4), Result_StudentSalary_Y5*(1+FA_Rate_Y5), Result_StudentSalary_Y6*(1+FA_Rate_Y6)) + SUM(Result_StudentFringe_Y1*(1+FA_Rate_Y1), Result_StudentFringe_Y2*(1+FA_Rate_Y2), Result_StudentFringe_Y3*(1+FA_Rate_Y3), Result_StudentFringe_Y4*(1+FA_Rate_Y4), Result_StudentFringe_Y5*(1+FA_Rate_Y5), Result_StudentFringe_Y6*(1+FA_Rate_Y6))</f>
        <v>0</v>
      </c>
      <c r="V39" s="1093"/>
      <c r="W39" s="1093"/>
      <c r="X39" s="1094"/>
      <c r="Y39" s="137"/>
      <c r="Z39" s="10"/>
    </row>
    <row r="40" spans="2:26" x14ac:dyDescent="0.2">
      <c r="B40" s="10"/>
      <c r="C40" s="147"/>
      <c r="D40" s="144"/>
      <c r="E40" s="144"/>
      <c r="F40" s="144"/>
      <c r="G40" s="144"/>
      <c r="H40" s="144"/>
      <c r="I40" s="144"/>
      <c r="J40" s="144"/>
      <c r="K40" s="144"/>
      <c r="L40" s="144"/>
      <c r="M40" s="144"/>
      <c r="N40" s="144"/>
      <c r="O40" s="144"/>
      <c r="P40" s="144"/>
      <c r="Q40" s="144"/>
      <c r="R40" s="144"/>
      <c r="S40" s="144"/>
      <c r="T40" s="144"/>
      <c r="U40" s="144"/>
      <c r="V40" s="144"/>
      <c r="W40" s="144"/>
      <c r="X40" s="144"/>
      <c r="Y40" s="148"/>
      <c r="Z40" s="10"/>
    </row>
    <row r="41" spans="2:26" ht="13.5" thickBot="1" x14ac:dyDescent="0.25">
      <c r="B41" s="10"/>
      <c r="C41" s="165"/>
      <c r="D41" s="166"/>
      <c r="E41" s="166"/>
      <c r="F41" s="166"/>
      <c r="G41" s="166"/>
      <c r="H41" s="166"/>
      <c r="I41" s="166"/>
      <c r="J41" s="166"/>
      <c r="K41" s="166"/>
      <c r="L41" s="166"/>
      <c r="M41" s="166"/>
      <c r="N41" s="166"/>
      <c r="O41" s="166"/>
      <c r="P41" s="166"/>
      <c r="Q41" s="166"/>
      <c r="R41" s="166"/>
      <c r="S41" s="166"/>
      <c r="T41" s="166"/>
      <c r="U41" s="166"/>
      <c r="V41" s="166"/>
      <c r="W41" s="166"/>
      <c r="X41" s="166"/>
      <c r="Y41" s="170"/>
      <c r="Z41" s="10"/>
    </row>
    <row r="42" spans="2:26" ht="12.75" customHeight="1" thickBot="1" x14ac:dyDescent="0.25">
      <c r="B42" s="10"/>
      <c r="C42" s="137"/>
      <c r="D42" s="142" t="s">
        <v>175</v>
      </c>
      <c r="E42" s="137"/>
      <c r="F42" s="137"/>
      <c r="G42" s="137"/>
      <c r="H42" s="137"/>
      <c r="I42" s="137"/>
      <c r="J42" s="137"/>
      <c r="K42" s="137"/>
      <c r="L42" s="137"/>
      <c r="M42" s="137"/>
      <c r="N42" s="137"/>
      <c r="O42" s="137"/>
      <c r="P42" s="137"/>
      <c r="Q42" s="137"/>
      <c r="R42" s="137"/>
      <c r="S42" s="137"/>
      <c r="T42" s="137"/>
      <c r="U42" s="608" t="s">
        <v>175</v>
      </c>
      <c r="V42" s="579"/>
      <c r="W42" s="579"/>
      <c r="X42" s="590"/>
      <c r="Y42" s="137"/>
      <c r="Z42" s="10"/>
    </row>
    <row r="43" spans="2:26" x14ac:dyDescent="0.2">
      <c r="B43" s="10"/>
      <c r="C43" s="137"/>
      <c r="D43" s="137"/>
      <c r="E43" s="137"/>
      <c r="F43" s="950" t="s">
        <v>346</v>
      </c>
      <c r="G43" s="951"/>
      <c r="H43" s="951"/>
      <c r="I43" s="951"/>
      <c r="J43" s="951"/>
      <c r="K43" s="951"/>
      <c r="L43" s="951"/>
      <c r="M43" s="952"/>
      <c r="N43" s="137"/>
      <c r="O43" s="137"/>
      <c r="P43" s="137"/>
      <c r="Q43" s="137"/>
      <c r="R43" s="137"/>
      <c r="S43" s="137"/>
      <c r="T43" s="137"/>
      <c r="U43" s="1089">
        <f>SUM(Data_DirectCostsMaterialsSupplies_Y1*(1+FA_Rate_Y1), Data_DirectCostsMaterialsSupplies_Y2*(1+FA_Rate_Y2), Data_DirectCostsMaterialsSupplies_Y3*(1+FA_Rate_Y3), Data_DirectCostsMaterialsSupplies_Y4*(1+FA_Rate_Y4), Data_DirectCostsMaterialsSupplies_Y5*(1+FA_Rate_Y5), Data_DirectCostsMaterialsSupplies_Y6*(1+FA_Rate_Y6))</f>
        <v>0</v>
      </c>
      <c r="V43" s="1090"/>
      <c r="W43" s="1090"/>
      <c r="X43" s="1091"/>
      <c r="Y43" s="137"/>
      <c r="Z43" s="10"/>
    </row>
    <row r="44" spans="2:26" x14ac:dyDescent="0.2">
      <c r="B44" s="10"/>
      <c r="C44" s="137"/>
      <c r="D44" s="137"/>
      <c r="E44" s="137"/>
      <c r="F44" s="950" t="s">
        <v>138</v>
      </c>
      <c r="G44" s="951"/>
      <c r="H44" s="951"/>
      <c r="I44" s="951"/>
      <c r="J44" s="951"/>
      <c r="K44" s="951"/>
      <c r="L44" s="951"/>
      <c r="M44" s="952"/>
      <c r="N44" s="137"/>
      <c r="O44" s="137"/>
      <c r="P44" s="137"/>
      <c r="Q44" s="137"/>
      <c r="R44" s="137"/>
      <c r="S44" s="137"/>
      <c r="T44" s="137"/>
      <c r="U44" s="975">
        <f>SUM(Result_EquipmentCost_Y1, Result_EquipmentCost_Y2, Result_EquipmentCost_Y3, Result_EquipmentCost_Y4, Result_EquipmentCost_Y5, Result_EquipmentCost_Y6)</f>
        <v>0</v>
      </c>
      <c r="V44" s="964"/>
      <c r="W44" s="964"/>
      <c r="X44" s="976"/>
      <c r="Y44" s="137"/>
      <c r="Z44" s="10"/>
    </row>
    <row r="45" spans="2:26" ht="13.5" customHeight="1" x14ac:dyDescent="0.2">
      <c r="B45" s="10"/>
      <c r="C45" s="137"/>
      <c r="D45" s="137"/>
      <c r="E45" s="137"/>
      <c r="F45" s="1081" t="s">
        <v>158</v>
      </c>
      <c r="G45" s="1082"/>
      <c r="H45" s="1082"/>
      <c r="I45" s="1082"/>
      <c r="J45" s="1082"/>
      <c r="K45" s="1082"/>
      <c r="L45" s="1082"/>
      <c r="M45" s="1083"/>
      <c r="N45" s="137"/>
      <c r="O45" s="137"/>
      <c r="P45" s="137"/>
      <c r="Q45" s="137"/>
      <c r="R45" s="137"/>
      <c r="S45" s="137"/>
      <c r="T45" s="137"/>
      <c r="U45" s="975">
        <f>SUM(Result_ParticipantCosts_Y1,Result_ParticipantCosts_Y2,Result_ParticipantCosts_Y3,Result_ParticipantCosts_Y4,Result_ParticipantCosts_Y5,Result_ParticipantCosts_Y6)</f>
        <v>0</v>
      </c>
      <c r="V45" s="964"/>
      <c r="W45" s="964"/>
      <c r="X45" s="976"/>
      <c r="Y45" s="137"/>
      <c r="Z45" s="10"/>
    </row>
    <row r="46" spans="2:26" ht="13.5" customHeight="1" x14ac:dyDescent="0.2">
      <c r="B46" s="10"/>
      <c r="C46" s="137"/>
      <c r="D46" s="137"/>
      <c r="E46" s="137"/>
      <c r="F46" s="1081" t="s">
        <v>157</v>
      </c>
      <c r="G46" s="1082"/>
      <c r="H46" s="1082"/>
      <c r="I46" s="1082"/>
      <c r="J46" s="1082"/>
      <c r="K46" s="1082"/>
      <c r="L46" s="1082"/>
      <c r="M46" s="1083"/>
      <c r="N46" s="137"/>
      <c r="O46" s="137"/>
      <c r="P46" s="137"/>
      <c r="Q46" s="137"/>
      <c r="R46" s="137"/>
      <c r="S46" s="137"/>
      <c r="T46" s="137"/>
      <c r="U46" s="975">
        <f xml:space="preserve"> SUM(Result_TravelTotal_Y1*(1+FA_Rate_Y1), Result_TravelTotal_Y2*(1+FA_Rate_Y2), Result_TravelTotal_Y3*(1+FA_Rate_Y3), Result_TravelTotal_Y4*(1+FA_Rate_Y4), Result_TravelTotal_Y5*(1+FA_Rate_Y5), Result_TravelTotal_Y6*(1+FA_Rate_Y6))</f>
        <v>0</v>
      </c>
      <c r="V46" s="964"/>
      <c r="W46" s="964"/>
      <c r="X46" s="976"/>
      <c r="Y46" s="137"/>
      <c r="Z46" s="10"/>
    </row>
    <row r="47" spans="2:26" x14ac:dyDescent="0.2">
      <c r="B47" s="10"/>
      <c r="C47" s="137"/>
      <c r="D47" s="142"/>
      <c r="E47" s="137"/>
      <c r="F47" s="950" t="s">
        <v>347</v>
      </c>
      <c r="G47" s="951"/>
      <c r="H47" s="951"/>
      <c r="I47" s="951"/>
      <c r="J47" s="951"/>
      <c r="K47" s="951"/>
      <c r="L47" s="951"/>
      <c r="M47" s="952"/>
      <c r="N47" s="137"/>
      <c r="O47" s="137"/>
      <c r="P47" s="137"/>
      <c r="Q47" s="137"/>
      <c r="R47" s="137"/>
      <c r="S47" s="137"/>
      <c r="T47" s="137"/>
      <c r="U47" s="975">
        <f>SUM(Result_SubawardCosts_Y1, Result_SubawardCosts_Y2, Result_SubawardCosts_Y3, Result_SubawardCosts_Y4, Result_SubawardCosts_Y5, Result_SubawardCosts_Y6) + SUM(Result_SubawardBase_Y1_TOTAL*(FA_Rate_Y1), Result_SubawardBase_Y2_TOTAL*(FA_Rate_Y2), Result_SubawardBase_Y3_TOTAL*(FA_Rate_Y3), Result_SubawardBase_Y4_TOTAL*(FA_Rate_Y4), Result_SubawardBase_Y5_TOTAL*(FA_Rate_Y5), Result_SubawardBase_Y6_TOTAL*(FA_Rate_Y6))</f>
        <v>0</v>
      </c>
      <c r="V47" s="964"/>
      <c r="W47" s="964"/>
      <c r="X47" s="976"/>
      <c r="Y47" s="137"/>
      <c r="Z47" s="10"/>
    </row>
    <row r="48" spans="2:26" ht="13.5" thickBot="1" x14ac:dyDescent="0.25">
      <c r="B48" s="10"/>
      <c r="C48" s="137"/>
      <c r="D48" s="142"/>
      <c r="E48" s="137"/>
      <c r="F48" s="950" t="s">
        <v>16</v>
      </c>
      <c r="G48" s="951"/>
      <c r="H48" s="951"/>
      <c r="I48" s="951"/>
      <c r="J48" s="951"/>
      <c r="K48" s="951"/>
      <c r="L48" s="951"/>
      <c r="M48" s="952"/>
      <c r="N48" s="137"/>
      <c r="O48" s="137"/>
      <c r="P48" s="137"/>
      <c r="Q48" s="137"/>
      <c r="R48" s="137"/>
      <c r="S48" s="137"/>
      <c r="T48" s="137"/>
      <c r="U48" s="977">
        <f xml:space="preserve"> SUM(Result_OtherDirectCosts_Y1 - Data_DirectCostsMaterialsSupplies_Y1 - Result_TuitionTOTAL_Y1)*(1+FA_Rate_Y1) + SUM(Result_OtherDirectCosts_Y2 - Data_DirectCostsMaterialsSupplies_Y2 - Result_TuitionTOTAL_Y2)*(1+FA_Rate_Y2) + SUM(Result_OtherDirectCosts_Y3 - Data_DirectCostsMaterialsSupplies_Y3 - Result_TuitionTOTAL_Y3)*(1+FA_Rate_Y3) + SUM(Result_OtherDirectCosts_Y4 - Data_DirectCostsMaterialsSupplies_Y4 - Result_TuitionTOTAL_Y4)*(1+FA_Rate_Y4) + SUM(Result_OtherDirectCosts_Y5 - Data_DirectCostsMaterialsSupplies_Y5 - Result_TuitionTOTAL_Y5)*(1+FA_Rate_Y5) + SUM(Result_OtherDirectCosts_Y6 - Data_DirectCostsMaterialsSupplies_Y6 - Result_TuitionTOTAL_Y6)*(1+FA_Rate_Y6)</f>
        <v>0</v>
      </c>
      <c r="V48" s="978"/>
      <c r="W48" s="978"/>
      <c r="X48" s="979"/>
      <c r="Y48" s="137"/>
      <c r="Z48" s="10"/>
    </row>
    <row r="49" spans="2:26" x14ac:dyDescent="0.2">
      <c r="B49" s="10"/>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0"/>
    </row>
    <row r="50" spans="2:26" ht="13.5" thickBot="1" x14ac:dyDescent="0.25">
      <c r="B50" s="10"/>
      <c r="C50" s="137"/>
      <c r="D50" s="137"/>
      <c r="E50" s="137"/>
      <c r="F50" s="181"/>
      <c r="G50" s="181"/>
      <c r="H50" s="181"/>
      <c r="I50" s="181"/>
      <c r="J50" s="181"/>
      <c r="K50" s="181"/>
      <c r="L50" s="137"/>
      <c r="M50" s="137"/>
      <c r="N50" s="137"/>
      <c r="O50" s="137"/>
      <c r="P50" s="137"/>
      <c r="Q50" s="137"/>
      <c r="R50" s="137"/>
      <c r="S50" s="137"/>
      <c r="T50" s="137"/>
      <c r="U50" s="184"/>
      <c r="V50" s="184"/>
      <c r="W50" s="184"/>
      <c r="X50" s="184"/>
      <c r="Y50" s="137"/>
      <c r="Z50" s="10"/>
    </row>
    <row r="51" spans="2:26" x14ac:dyDescent="0.2">
      <c r="B51" s="10"/>
      <c r="C51" s="137"/>
      <c r="D51" s="137"/>
      <c r="E51" s="137"/>
      <c r="F51" s="946" t="s">
        <v>201</v>
      </c>
      <c r="G51" s="946"/>
      <c r="H51" s="946"/>
      <c r="I51" s="946"/>
      <c r="J51" s="946"/>
      <c r="K51" s="946"/>
      <c r="L51" s="946"/>
      <c r="M51" s="137"/>
      <c r="N51" s="137"/>
      <c r="O51" s="137"/>
      <c r="P51" s="137"/>
      <c r="Q51" s="137"/>
      <c r="R51" s="137"/>
      <c r="S51" s="137"/>
      <c r="T51" s="137"/>
      <c r="U51" s="940">
        <f>SUM(U37:X39,U43:X48)</f>
        <v>0</v>
      </c>
      <c r="V51" s="941"/>
      <c r="W51" s="941"/>
      <c r="X51" s="942"/>
      <c r="Y51" s="137"/>
      <c r="Z51" s="10"/>
    </row>
    <row r="52" spans="2:26" ht="13.5" thickBot="1" x14ac:dyDescent="0.25">
      <c r="B52" s="10"/>
      <c r="C52" s="137"/>
      <c r="D52" s="137"/>
      <c r="E52" s="137"/>
      <c r="F52" s="946"/>
      <c r="G52" s="946"/>
      <c r="H52" s="946"/>
      <c r="I52" s="946"/>
      <c r="J52" s="946"/>
      <c r="K52" s="946"/>
      <c r="L52" s="946"/>
      <c r="M52" s="137"/>
      <c r="N52" s="137"/>
      <c r="O52" s="137"/>
      <c r="P52" s="137"/>
      <c r="Q52" s="137"/>
      <c r="R52" s="137"/>
      <c r="S52" s="137"/>
      <c r="T52" s="137"/>
      <c r="U52" s="943"/>
      <c r="V52" s="944"/>
      <c r="W52" s="944"/>
      <c r="X52" s="945"/>
      <c r="Y52" s="137"/>
      <c r="Z52" s="10"/>
    </row>
    <row r="53" spans="2:26" ht="13.5" thickBot="1" x14ac:dyDescent="0.25">
      <c r="B53" s="10"/>
      <c r="C53" s="167"/>
      <c r="D53" s="168"/>
      <c r="E53" s="168"/>
      <c r="F53" s="168"/>
      <c r="G53" s="168"/>
      <c r="H53" s="168"/>
      <c r="I53" s="168"/>
      <c r="J53" s="168"/>
      <c r="K53" s="168"/>
      <c r="L53" s="168"/>
      <c r="M53" s="168"/>
      <c r="N53" s="168"/>
      <c r="O53" s="168"/>
      <c r="P53" s="168"/>
      <c r="Q53" s="168"/>
      <c r="R53" s="168"/>
      <c r="S53" s="168"/>
      <c r="T53" s="168"/>
      <c r="U53" s="168"/>
      <c r="V53" s="168"/>
      <c r="W53" s="168"/>
      <c r="X53" s="168"/>
      <c r="Y53" s="171"/>
      <c r="Z53" s="10"/>
    </row>
    <row r="54" spans="2:26" ht="3.75" customHeight="1" thickBot="1" x14ac:dyDescent="0.25">
      <c r="B54" s="20"/>
      <c r="C54" s="19"/>
      <c r="D54" s="19"/>
      <c r="E54" s="19"/>
      <c r="F54" s="19"/>
      <c r="G54" s="19"/>
      <c r="H54" s="19"/>
      <c r="I54" s="19"/>
      <c r="J54" s="19"/>
      <c r="K54" s="19"/>
      <c r="L54" s="19"/>
      <c r="M54" s="19"/>
      <c r="N54" s="19"/>
      <c r="O54" s="19"/>
      <c r="P54" s="19"/>
      <c r="Q54" s="19"/>
      <c r="R54" s="19"/>
      <c r="S54" s="19"/>
      <c r="T54" s="19"/>
      <c r="U54" s="19"/>
      <c r="V54" s="19"/>
      <c r="W54" s="19"/>
      <c r="X54" s="19"/>
      <c r="Y54" s="19"/>
      <c r="Z54" s="21"/>
    </row>
  </sheetData>
  <sheetProtection algorithmName="SHA-512" hashValue="IsYLqyXp2S84lzH7sldqlsPyjVAXThRz52at0FCDBVS2BmcVOwECoKUpaJ5imhTeERNkgo0AeO1TAiFJq5awIA==" saltValue="Vnd3oUypVkicNvn832Dzzw==" spinCount="100000" sheet="1" selectLockedCells="1" selectUnlockedCells="1"/>
  <mergeCells count="97">
    <mergeCell ref="C4:Y4"/>
    <mergeCell ref="O13:Q14"/>
    <mergeCell ref="U13:X14"/>
    <mergeCell ref="O15:Q15"/>
    <mergeCell ref="U15:X15"/>
    <mergeCell ref="J6:X6"/>
    <mergeCell ref="J7:X7"/>
    <mergeCell ref="J8:X8"/>
    <mergeCell ref="H9:K9"/>
    <mergeCell ref="Q9:U9"/>
    <mergeCell ref="D5:X5"/>
    <mergeCell ref="F13:N14"/>
    <mergeCell ref="F20:N20"/>
    <mergeCell ref="F21:N21"/>
    <mergeCell ref="U17:X17"/>
    <mergeCell ref="O19:Q19"/>
    <mergeCell ref="O39:Q39"/>
    <mergeCell ref="F22:N22"/>
    <mergeCell ref="F23:N23"/>
    <mergeCell ref="F18:N18"/>
    <mergeCell ref="U19:X19"/>
    <mergeCell ref="F19:N19"/>
    <mergeCell ref="O18:Q18"/>
    <mergeCell ref="U18:X18"/>
    <mergeCell ref="O23:Q23"/>
    <mergeCell ref="U23:X23"/>
    <mergeCell ref="F26:N26"/>
    <mergeCell ref="F27:N27"/>
    <mergeCell ref="U16:X16"/>
    <mergeCell ref="O17:Q17"/>
    <mergeCell ref="O16:Q16"/>
    <mergeCell ref="O22:Q22"/>
    <mergeCell ref="U22:X22"/>
    <mergeCell ref="O20:Q20"/>
    <mergeCell ref="U20:X20"/>
    <mergeCell ref="O21:Q21"/>
    <mergeCell ref="U21:X21"/>
    <mergeCell ref="O24:Q24"/>
    <mergeCell ref="U24:X24"/>
    <mergeCell ref="O25:Q25"/>
    <mergeCell ref="U25:X25"/>
    <mergeCell ref="F24:N24"/>
    <mergeCell ref="F25:N25"/>
    <mergeCell ref="O26:Q26"/>
    <mergeCell ref="U26:X26"/>
    <mergeCell ref="O27:Q27"/>
    <mergeCell ref="U27:X27"/>
    <mergeCell ref="F30:N30"/>
    <mergeCell ref="O30:Q30"/>
    <mergeCell ref="O29:Q29"/>
    <mergeCell ref="U29:X29"/>
    <mergeCell ref="O28:Q28"/>
    <mergeCell ref="U28:X28"/>
    <mergeCell ref="F28:N28"/>
    <mergeCell ref="F29:N29"/>
    <mergeCell ref="U39:X39"/>
    <mergeCell ref="F31:N31"/>
    <mergeCell ref="O32:Q32"/>
    <mergeCell ref="O37:Q37"/>
    <mergeCell ref="U37:X37"/>
    <mergeCell ref="O36:Q36"/>
    <mergeCell ref="F33:N33"/>
    <mergeCell ref="O34:Q34"/>
    <mergeCell ref="U36:X36"/>
    <mergeCell ref="U34:X34"/>
    <mergeCell ref="O31:Q31"/>
    <mergeCell ref="O38:Q38"/>
    <mergeCell ref="U38:X38"/>
    <mergeCell ref="U31:X31"/>
    <mergeCell ref="F51:L52"/>
    <mergeCell ref="U51:X52"/>
    <mergeCell ref="U42:X42"/>
    <mergeCell ref="U43:X43"/>
    <mergeCell ref="U44:X44"/>
    <mergeCell ref="U45:X45"/>
    <mergeCell ref="F47:M47"/>
    <mergeCell ref="U47:X47"/>
    <mergeCell ref="F44:M44"/>
    <mergeCell ref="U48:X48"/>
    <mergeCell ref="F46:M46"/>
    <mergeCell ref="U46:X46"/>
    <mergeCell ref="W3:Y3"/>
    <mergeCell ref="F48:M48"/>
    <mergeCell ref="F43:M43"/>
    <mergeCell ref="F45:M45"/>
    <mergeCell ref="F34:N34"/>
    <mergeCell ref="O33:Q33"/>
    <mergeCell ref="U33:X33"/>
    <mergeCell ref="F32:N32"/>
    <mergeCell ref="F39:M39"/>
    <mergeCell ref="F37:M37"/>
    <mergeCell ref="F15:N15"/>
    <mergeCell ref="F16:N16"/>
    <mergeCell ref="F17:N17"/>
    <mergeCell ref="F38:M38"/>
    <mergeCell ref="U32:X32"/>
    <mergeCell ref="U30:X30"/>
  </mergeCells>
  <conditionalFormatting sqref="F15:K35 O35:R35">
    <cfRule type="cellIs" dxfId="18" priority="7" stopIfTrue="1" operator="equal">
      <formula>0</formula>
    </cfRule>
  </conditionalFormatting>
  <conditionalFormatting sqref="J6:X6">
    <cfRule type="expression" dxfId="17" priority="5" stopIfTrue="1">
      <formula>$J6=0</formula>
    </cfRule>
  </conditionalFormatting>
  <conditionalFormatting sqref="J7:X7">
    <cfRule type="expression" dxfId="16" priority="4" stopIfTrue="1">
      <formula>$J7=0</formula>
    </cfRule>
  </conditionalFormatting>
  <conditionalFormatting sqref="J8:X8">
    <cfRule type="expression" dxfId="15" priority="3" stopIfTrue="1">
      <formula>$J8=0</formula>
    </cfRule>
  </conditionalFormatting>
  <conditionalFormatting sqref="H9:K9">
    <cfRule type="cellIs" dxfId="14" priority="2" stopIfTrue="1" operator="lessThanOrEqual">
      <formula>0</formula>
    </cfRule>
  </conditionalFormatting>
  <conditionalFormatting sqref="Q9:U9">
    <cfRule type="cellIs" dxfId="13" priority="1" stopIfTrue="1" operator="lessThanOrEqual">
      <formula>0</formula>
    </cfRule>
  </conditionalFormatting>
  <dataValidations disablePrompts="1" count="1">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Q35:R35" xr:uid="{00000000-0002-0000-0B00-000000000000}">
      <formula1>0</formula1>
    </dataValidation>
  </dataValidations>
  <printOptions horizontalCentered="1" verticalCentered="1"/>
  <pageMargins left="0.5" right="0.5" top="0.75" bottom="0.75" header="0.3" footer="0.3"/>
  <pageSetup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
    <tabColor rgb="FFFFFF00"/>
    <pageSetUpPr fitToPage="1"/>
  </sheetPr>
  <dimension ref="B1:V11"/>
  <sheetViews>
    <sheetView showRowColHeaders="0" zoomScaleNormal="100" workbookViewId="0">
      <selection activeCell="C13" sqref="C13"/>
    </sheetView>
  </sheetViews>
  <sheetFormatPr defaultColWidth="9.28515625" defaultRowHeight="12.75" x14ac:dyDescent="0.2"/>
  <cols>
    <col min="1" max="1" width="2.7109375" style="84" customWidth="1"/>
    <col min="2" max="2" width="0.7109375" style="84" customWidth="1"/>
    <col min="3" max="21" width="5.7109375" style="84" customWidth="1"/>
    <col min="22" max="22" width="0.7109375" style="84" customWidth="1"/>
    <col min="23" max="16384" width="9.28515625" style="84"/>
  </cols>
  <sheetData>
    <row r="1" spans="2:22" ht="15" customHeight="1" x14ac:dyDescent="0.2"/>
    <row r="2" spans="2:22" ht="3.75" customHeight="1" thickBot="1" x14ac:dyDescent="0.25">
      <c r="B2" s="1"/>
      <c r="C2" s="2"/>
      <c r="D2" s="2"/>
      <c r="E2" s="2"/>
      <c r="F2" s="2"/>
      <c r="G2" s="2"/>
      <c r="H2" s="2"/>
      <c r="I2" s="2"/>
      <c r="J2" s="2"/>
      <c r="K2" s="2"/>
      <c r="L2" s="2"/>
      <c r="M2" s="2"/>
      <c r="N2" s="2"/>
      <c r="O2" s="2"/>
      <c r="P2" s="2"/>
      <c r="Q2" s="2"/>
      <c r="R2" s="2"/>
      <c r="S2" s="2"/>
      <c r="T2" s="2"/>
      <c r="U2" s="2"/>
      <c r="V2" s="3"/>
    </row>
    <row r="3" spans="2:22" x14ac:dyDescent="0.2">
      <c r="B3" s="4"/>
      <c r="C3" s="1119"/>
      <c r="D3" s="1120"/>
      <c r="E3" s="1120"/>
      <c r="F3" s="1120"/>
      <c r="G3" s="1120"/>
      <c r="H3" s="1120"/>
      <c r="I3" s="1120"/>
      <c r="J3" s="1120"/>
      <c r="K3" s="1120"/>
      <c r="L3" s="1120"/>
      <c r="M3" s="1120"/>
      <c r="N3" s="1120"/>
      <c r="O3" s="1120"/>
      <c r="P3" s="1120"/>
      <c r="Q3" s="1120"/>
      <c r="R3" s="1120"/>
      <c r="S3" s="1120"/>
      <c r="T3" s="1120"/>
      <c r="U3" s="1121"/>
      <c r="V3" s="5"/>
    </row>
    <row r="4" spans="2:22" x14ac:dyDescent="0.2">
      <c r="B4" s="4"/>
      <c r="C4" s="1122" t="s">
        <v>0</v>
      </c>
      <c r="D4" s="1123"/>
      <c r="E4" s="1123"/>
      <c r="F4" s="1123"/>
      <c r="G4" s="1123"/>
      <c r="H4" s="1123"/>
      <c r="I4" s="1123"/>
      <c r="J4" s="1123"/>
      <c r="K4" s="1123"/>
      <c r="L4" s="1123"/>
      <c r="M4" s="1123"/>
      <c r="N4" s="1123"/>
      <c r="O4" s="1123"/>
      <c r="P4" s="1123"/>
      <c r="Q4" s="1123"/>
      <c r="R4" s="1123"/>
      <c r="S4" s="1123"/>
      <c r="T4" s="1123"/>
      <c r="U4" s="1124"/>
      <c r="V4" s="5"/>
    </row>
    <row r="5" spans="2:22" x14ac:dyDescent="0.2">
      <c r="B5" s="4"/>
      <c r="C5" s="1122" t="s">
        <v>1</v>
      </c>
      <c r="D5" s="1123"/>
      <c r="E5" s="1123"/>
      <c r="F5" s="1123"/>
      <c r="G5" s="1123"/>
      <c r="H5" s="1123"/>
      <c r="I5" s="1123"/>
      <c r="J5" s="1123"/>
      <c r="K5" s="1123"/>
      <c r="L5" s="1123"/>
      <c r="M5" s="1123"/>
      <c r="N5" s="1123"/>
      <c r="O5" s="1123"/>
      <c r="P5" s="1123"/>
      <c r="Q5" s="1123"/>
      <c r="R5" s="1123"/>
      <c r="S5" s="1123"/>
      <c r="T5" s="1123"/>
      <c r="U5" s="1124"/>
      <c r="V5" s="5"/>
    </row>
    <row r="6" spans="2:22" x14ac:dyDescent="0.2">
      <c r="B6" s="4"/>
      <c r="C6" s="1122" t="s">
        <v>221</v>
      </c>
      <c r="D6" s="1123"/>
      <c r="E6" s="1123"/>
      <c r="F6" s="1123"/>
      <c r="G6" s="1123"/>
      <c r="H6" s="1123"/>
      <c r="I6" s="1123"/>
      <c r="J6" s="1123"/>
      <c r="K6" s="1123"/>
      <c r="L6" s="1123"/>
      <c r="M6" s="1123"/>
      <c r="N6" s="1123"/>
      <c r="O6" s="1123"/>
      <c r="P6" s="1123"/>
      <c r="Q6" s="1123"/>
      <c r="R6" s="1123"/>
      <c r="S6" s="1123"/>
      <c r="T6" s="1123"/>
      <c r="U6" s="1124"/>
      <c r="V6" s="5"/>
    </row>
    <row r="7" spans="2:22" x14ac:dyDescent="0.2">
      <c r="B7" s="4"/>
      <c r="C7" s="93"/>
      <c r="D7" s="94"/>
      <c r="E7" s="94"/>
      <c r="F7" s="94"/>
      <c r="G7" s="94"/>
      <c r="H7" s="94"/>
      <c r="I7" s="94"/>
      <c r="J7" s="94"/>
      <c r="K7" s="94"/>
      <c r="L7" s="94"/>
      <c r="M7" s="94"/>
      <c r="N7" s="94"/>
      <c r="O7" s="94"/>
      <c r="P7" s="94"/>
      <c r="Q7" s="94"/>
      <c r="R7" s="94"/>
      <c r="S7" s="94"/>
      <c r="T7" s="94"/>
      <c r="U7" s="95"/>
      <c r="V7" s="5"/>
    </row>
    <row r="8" spans="2:22" x14ac:dyDescent="0.2">
      <c r="B8" s="4"/>
      <c r="C8" s="96"/>
      <c r="D8" s="97"/>
      <c r="E8" s="97"/>
      <c r="F8" s="97"/>
      <c r="G8" s="97"/>
      <c r="H8" s="97"/>
      <c r="I8" s="97"/>
      <c r="J8" s="97"/>
      <c r="K8" s="97"/>
      <c r="L8" s="97"/>
      <c r="M8" s="97"/>
      <c r="N8" s="97"/>
      <c r="O8" s="97"/>
      <c r="P8" s="97"/>
      <c r="Q8" s="97"/>
      <c r="R8" s="97"/>
      <c r="S8" s="97"/>
      <c r="T8" s="97"/>
      <c r="U8" s="98"/>
      <c r="V8" s="5"/>
    </row>
    <row r="9" spans="2:22" x14ac:dyDescent="0.2">
      <c r="B9" s="4"/>
      <c r="C9" s="1116" t="s">
        <v>223</v>
      </c>
      <c r="D9" s="1117"/>
      <c r="E9" s="1117"/>
      <c r="F9" s="1117"/>
      <c r="G9" s="1117"/>
      <c r="H9" s="1117"/>
      <c r="I9" s="1117"/>
      <c r="J9" s="1117"/>
      <c r="K9" s="1117"/>
      <c r="L9" s="1117"/>
      <c r="M9" s="1117"/>
      <c r="N9" s="1117"/>
      <c r="O9" s="1117"/>
      <c r="P9" s="1117"/>
      <c r="Q9" s="1117"/>
      <c r="R9" s="1117"/>
      <c r="S9" s="1117"/>
      <c r="T9" s="1117"/>
      <c r="U9" s="1118"/>
      <c r="V9" s="5"/>
    </row>
    <row r="10" spans="2:22" ht="13.5" thickBot="1" x14ac:dyDescent="0.25">
      <c r="B10" s="4"/>
      <c r="C10" s="1113"/>
      <c r="D10" s="1114"/>
      <c r="E10" s="1114"/>
      <c r="F10" s="1114"/>
      <c r="G10" s="1114"/>
      <c r="H10" s="1114"/>
      <c r="I10" s="1114"/>
      <c r="J10" s="1114"/>
      <c r="K10" s="1114"/>
      <c r="L10" s="1114"/>
      <c r="M10" s="1114"/>
      <c r="N10" s="1114"/>
      <c r="O10" s="1114"/>
      <c r="P10" s="1114"/>
      <c r="Q10" s="1114"/>
      <c r="R10" s="1114"/>
      <c r="S10" s="1114"/>
      <c r="T10" s="1114"/>
      <c r="U10" s="1115"/>
      <c r="V10" s="5"/>
    </row>
    <row r="11" spans="2:22" ht="3.75" customHeight="1" x14ac:dyDescent="0.2">
      <c r="B11" s="16"/>
      <c r="C11" s="17"/>
      <c r="D11" s="17"/>
      <c r="E11" s="17"/>
      <c r="F11" s="17"/>
      <c r="G11" s="17"/>
      <c r="H11" s="17"/>
      <c r="I11" s="17"/>
      <c r="J11" s="17"/>
      <c r="K11" s="17"/>
      <c r="L11" s="17"/>
      <c r="M11" s="17"/>
      <c r="N11" s="17"/>
      <c r="O11" s="17"/>
      <c r="P11" s="17"/>
      <c r="Q11" s="17"/>
      <c r="R11" s="17"/>
      <c r="S11" s="17"/>
      <c r="T11" s="17"/>
      <c r="U11" s="17"/>
      <c r="V11" s="18"/>
    </row>
  </sheetData>
  <mergeCells count="6">
    <mergeCell ref="C10:U10"/>
    <mergeCell ref="C9:U9"/>
    <mergeCell ref="C3:U3"/>
    <mergeCell ref="C4:U4"/>
    <mergeCell ref="C5:U5"/>
    <mergeCell ref="C6:U6"/>
  </mergeCells>
  <pageMargins left="0.7" right="0.7" top="0.75" bottom="0.7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pageSetUpPr fitToPage="1"/>
  </sheetPr>
  <dimension ref="B1:J235"/>
  <sheetViews>
    <sheetView showGridLines="0" showRowColHeaders="0" zoomScaleNormal="100" workbookViewId="0">
      <selection activeCell="B1" sqref="B1:J3"/>
    </sheetView>
  </sheetViews>
  <sheetFormatPr defaultColWidth="9.28515625" defaultRowHeight="12.75" x14ac:dyDescent="0.2"/>
  <cols>
    <col min="1" max="1" width="1.42578125" style="106" customWidth="1"/>
    <col min="2" max="10" width="10.7109375" style="106" customWidth="1"/>
    <col min="11" max="16384" width="9.28515625" style="106"/>
  </cols>
  <sheetData>
    <row r="1" spans="2:10" ht="18" customHeight="1" x14ac:dyDescent="0.2">
      <c r="B1" s="378" t="s">
        <v>241</v>
      </c>
      <c r="C1" s="1131"/>
      <c r="D1" s="1131"/>
      <c r="E1" s="1131"/>
      <c r="F1" s="1131"/>
      <c r="G1" s="1131"/>
      <c r="H1" s="1131"/>
      <c r="I1" s="1131"/>
      <c r="J1" s="1131"/>
    </row>
    <row r="2" spans="2:10" ht="18" customHeight="1" x14ac:dyDescent="0.2">
      <c r="B2" s="1131"/>
      <c r="C2" s="1131"/>
      <c r="D2" s="1131"/>
      <c r="E2" s="1131"/>
      <c r="F2" s="1131"/>
      <c r="G2" s="1131"/>
      <c r="H2" s="1131"/>
      <c r="I2" s="1131"/>
      <c r="J2" s="1131"/>
    </row>
    <row r="3" spans="2:10" ht="18" customHeight="1" x14ac:dyDescent="0.2">
      <c r="B3" s="1131"/>
      <c r="C3" s="1131"/>
      <c r="D3" s="1131"/>
      <c r="E3" s="1131"/>
      <c r="F3" s="1131"/>
      <c r="G3" s="1131"/>
      <c r="H3" s="1131"/>
      <c r="I3" s="1131"/>
      <c r="J3" s="1131"/>
    </row>
    <row r="4" spans="2:10" ht="14.25" x14ac:dyDescent="0.2">
      <c r="B4" s="107"/>
      <c r="C4" s="107"/>
      <c r="D4" s="107"/>
      <c r="E4" s="107"/>
      <c r="F4" s="107"/>
      <c r="G4" s="107"/>
      <c r="H4" s="107"/>
      <c r="I4" s="107"/>
      <c r="J4" s="107"/>
    </row>
    <row r="5" spans="2:10" ht="15" x14ac:dyDescent="0.25">
      <c r="B5" s="108" t="s">
        <v>242</v>
      </c>
      <c r="C5" s="109"/>
      <c r="D5" s="109"/>
      <c r="E5" s="109"/>
      <c r="F5" s="109"/>
      <c r="G5" s="109"/>
      <c r="H5" s="109"/>
      <c r="I5" s="109"/>
      <c r="J5" s="109"/>
    </row>
    <row r="6" spans="2:10" x14ac:dyDescent="0.2">
      <c r="B6" s="1132" t="s">
        <v>243</v>
      </c>
      <c r="C6" s="1132"/>
      <c r="D6" s="1132"/>
      <c r="E6" s="1132"/>
      <c r="F6" s="1132"/>
      <c r="G6" s="1132"/>
      <c r="H6" s="1132"/>
      <c r="I6" s="1132"/>
      <c r="J6" s="1132"/>
    </row>
    <row r="7" spans="2:10" x14ac:dyDescent="0.2">
      <c r="B7" s="1132"/>
      <c r="C7" s="1132"/>
      <c r="D7" s="1132"/>
      <c r="E7" s="1132"/>
      <c r="F7" s="1132"/>
      <c r="G7" s="1132"/>
      <c r="H7" s="1132"/>
      <c r="I7" s="1132"/>
      <c r="J7" s="1132"/>
    </row>
    <row r="8" spans="2:10" x14ac:dyDescent="0.2">
      <c r="B8" s="1132"/>
      <c r="C8" s="1132"/>
      <c r="D8" s="1132"/>
      <c r="E8" s="1132"/>
      <c r="F8" s="1132"/>
      <c r="G8" s="1132"/>
      <c r="H8" s="1132"/>
      <c r="I8" s="1132"/>
      <c r="J8" s="1132"/>
    </row>
    <row r="9" spans="2:10" ht="15" x14ac:dyDescent="0.25">
      <c r="B9" s="108" t="s">
        <v>244</v>
      </c>
      <c r="C9" s="109"/>
      <c r="D9" s="109"/>
      <c r="E9" s="109"/>
      <c r="F9" s="109"/>
      <c r="G9" s="109"/>
      <c r="H9" s="109"/>
      <c r="I9" s="109"/>
      <c r="J9" s="109"/>
    </row>
    <row r="10" spans="2:10" x14ac:dyDescent="0.2">
      <c r="B10" s="1132" t="s">
        <v>262</v>
      </c>
      <c r="C10" s="1133"/>
      <c r="D10" s="1133"/>
      <c r="E10" s="1133"/>
      <c r="F10" s="1133"/>
      <c r="G10" s="1133"/>
      <c r="H10" s="1133"/>
      <c r="I10" s="1133"/>
      <c r="J10" s="1133"/>
    </row>
    <row r="11" spans="2:10" x14ac:dyDescent="0.2">
      <c r="B11" s="1133"/>
      <c r="C11" s="1133"/>
      <c r="D11" s="1133"/>
      <c r="E11" s="1133"/>
      <c r="F11" s="1133"/>
      <c r="G11" s="1133"/>
      <c r="H11" s="1133"/>
      <c r="I11" s="1133"/>
      <c r="J11" s="1133"/>
    </row>
    <row r="12" spans="2:10" x14ac:dyDescent="0.2">
      <c r="B12" s="1133"/>
      <c r="C12" s="1133"/>
      <c r="D12" s="1133"/>
      <c r="E12" s="1133"/>
      <c r="F12" s="1133"/>
      <c r="G12" s="1133"/>
      <c r="H12" s="1133"/>
      <c r="I12" s="1133"/>
      <c r="J12" s="1133"/>
    </row>
    <row r="13" spans="2:10" x14ac:dyDescent="0.2">
      <c r="B13" s="1133"/>
      <c r="C13" s="1133"/>
      <c r="D13" s="1133"/>
      <c r="E13" s="1133"/>
      <c r="F13" s="1133"/>
      <c r="G13" s="1133"/>
      <c r="H13" s="1133"/>
      <c r="I13" s="1133"/>
      <c r="J13" s="1133"/>
    </row>
    <row r="14" spans="2:10" x14ac:dyDescent="0.2">
      <c r="B14" s="1133"/>
      <c r="C14" s="1133"/>
      <c r="D14" s="1133"/>
      <c r="E14" s="1133"/>
      <c r="F14" s="1133"/>
      <c r="G14" s="1133"/>
      <c r="H14" s="1133"/>
      <c r="I14" s="1133"/>
      <c r="J14" s="1133"/>
    </row>
    <row r="15" spans="2:10" x14ac:dyDescent="0.2">
      <c r="B15" s="1133"/>
      <c r="C15" s="1133"/>
      <c r="D15" s="1133"/>
      <c r="E15" s="1133"/>
      <c r="F15" s="1133"/>
      <c r="G15" s="1133"/>
      <c r="H15" s="1133"/>
      <c r="I15" s="1133"/>
      <c r="J15" s="1133"/>
    </row>
    <row r="16" spans="2:10" x14ac:dyDescent="0.2">
      <c r="B16" s="1133"/>
      <c r="C16" s="1133"/>
      <c r="D16" s="1133"/>
      <c r="E16" s="1133"/>
      <c r="F16" s="1133"/>
      <c r="G16" s="1133"/>
      <c r="H16" s="1133"/>
      <c r="I16" s="1133"/>
      <c r="J16" s="1133"/>
    </row>
    <row r="17" spans="2:10" x14ac:dyDescent="0.2">
      <c r="B17" s="1133"/>
      <c r="C17" s="1133"/>
      <c r="D17" s="1133"/>
      <c r="E17" s="1133"/>
      <c r="F17" s="1133"/>
      <c r="G17" s="1133"/>
      <c r="H17" s="1133"/>
      <c r="I17" s="1133"/>
      <c r="J17" s="1133"/>
    </row>
    <row r="18" spans="2:10" x14ac:dyDescent="0.2">
      <c r="B18" s="1133"/>
      <c r="C18" s="1133"/>
      <c r="D18" s="1133"/>
      <c r="E18" s="1133"/>
      <c r="F18" s="1133"/>
      <c r="G18" s="1133"/>
      <c r="H18" s="1133"/>
      <c r="I18" s="1133"/>
      <c r="J18" s="1133"/>
    </row>
    <row r="19" spans="2:10" x14ac:dyDescent="0.2">
      <c r="B19" s="1133"/>
      <c r="C19" s="1133"/>
      <c r="D19" s="1133"/>
      <c r="E19" s="1133"/>
      <c r="F19" s="1133"/>
      <c r="G19" s="1133"/>
      <c r="H19" s="1133"/>
      <c r="I19" s="1133"/>
      <c r="J19" s="1133"/>
    </row>
    <row r="20" spans="2:10" x14ac:dyDescent="0.2">
      <c r="B20" s="1133"/>
      <c r="C20" s="1133"/>
      <c r="D20" s="1133"/>
      <c r="E20" s="1133"/>
      <c r="F20" s="1133"/>
      <c r="G20" s="1133"/>
      <c r="H20" s="1133"/>
      <c r="I20" s="1133"/>
      <c r="J20" s="1133"/>
    </row>
    <row r="21" spans="2:10" x14ac:dyDescent="0.2">
      <c r="B21" s="1133"/>
      <c r="C21" s="1133"/>
      <c r="D21" s="1133"/>
      <c r="E21" s="1133"/>
      <c r="F21" s="1133"/>
      <c r="G21" s="1133"/>
      <c r="H21" s="1133"/>
      <c r="I21" s="1133"/>
      <c r="J21" s="1133"/>
    </row>
    <row r="22" spans="2:10" ht="14.25" customHeight="1" x14ac:dyDescent="0.2">
      <c r="B22" s="1132" t="s">
        <v>553</v>
      </c>
      <c r="C22" s="1133"/>
      <c r="D22" s="1133"/>
      <c r="E22" s="1133"/>
      <c r="F22" s="1133"/>
      <c r="G22" s="1133"/>
      <c r="H22" s="1133"/>
      <c r="I22" s="1133"/>
      <c r="J22" s="1133"/>
    </row>
    <row r="23" spans="2:10" ht="14.25" customHeight="1" x14ac:dyDescent="0.2">
      <c r="B23" s="1133"/>
      <c r="C23" s="1133"/>
      <c r="D23" s="1133"/>
      <c r="E23" s="1133"/>
      <c r="F23" s="1133"/>
      <c r="G23" s="1133"/>
      <c r="H23" s="1133"/>
      <c r="I23" s="1133"/>
      <c r="J23" s="1133"/>
    </row>
    <row r="24" spans="2:10" ht="14.25" customHeight="1" x14ac:dyDescent="0.2">
      <c r="B24" s="1133"/>
      <c r="C24" s="1133"/>
      <c r="D24" s="1133"/>
      <c r="E24" s="1133"/>
      <c r="F24" s="1133"/>
      <c r="G24" s="1133"/>
      <c r="H24" s="1133"/>
      <c r="I24" s="1133"/>
      <c r="J24" s="1133"/>
    </row>
    <row r="25" spans="2:10" ht="14.25" customHeight="1" x14ac:dyDescent="0.2">
      <c r="B25" s="1133"/>
      <c r="C25" s="1133"/>
      <c r="D25" s="1133"/>
      <c r="E25" s="1133"/>
      <c r="F25" s="1133"/>
      <c r="G25" s="1133"/>
      <c r="H25" s="1133"/>
      <c r="I25" s="1133"/>
      <c r="J25" s="1133"/>
    </row>
    <row r="26" spans="2:10" ht="14.25" customHeight="1" x14ac:dyDescent="0.2">
      <c r="B26" s="1133"/>
      <c r="C26" s="1133"/>
      <c r="D26" s="1133"/>
      <c r="E26" s="1133"/>
      <c r="F26" s="1133"/>
      <c r="G26" s="1133"/>
      <c r="H26" s="1133"/>
      <c r="I26" s="1133"/>
      <c r="J26" s="1133"/>
    </row>
    <row r="27" spans="2:10" ht="14.25" customHeight="1" x14ac:dyDescent="0.2">
      <c r="B27" s="1133"/>
      <c r="C27" s="1133"/>
      <c r="D27" s="1133"/>
      <c r="E27" s="1133"/>
      <c r="F27" s="1133"/>
      <c r="G27" s="1133"/>
      <c r="H27" s="1133"/>
      <c r="I27" s="1133"/>
      <c r="J27" s="1133"/>
    </row>
    <row r="28" spans="2:10" ht="14.25" customHeight="1" x14ac:dyDescent="0.2">
      <c r="B28" s="1133"/>
      <c r="C28" s="1133"/>
      <c r="D28" s="1133"/>
      <c r="E28" s="1133"/>
      <c r="F28" s="1133"/>
      <c r="G28" s="1133"/>
      <c r="H28" s="1133"/>
      <c r="I28" s="1133"/>
      <c r="J28" s="1133"/>
    </row>
    <row r="29" spans="2:10" ht="12.75" customHeight="1" x14ac:dyDescent="0.2">
      <c r="B29" s="1133"/>
      <c r="C29" s="1133"/>
      <c r="D29" s="1133"/>
      <c r="E29" s="1133"/>
      <c r="F29" s="1133"/>
      <c r="G29" s="1133"/>
      <c r="H29" s="1133"/>
      <c r="I29" s="1133"/>
      <c r="J29" s="1133"/>
    </row>
    <row r="30" spans="2:10" ht="12.75" customHeight="1" x14ac:dyDescent="0.2">
      <c r="B30" s="1133"/>
      <c r="C30" s="1133"/>
      <c r="D30" s="1133"/>
      <c r="E30" s="1133"/>
      <c r="F30" s="1133"/>
      <c r="G30" s="1133"/>
      <c r="H30" s="1133"/>
      <c r="I30" s="1133"/>
      <c r="J30" s="1133"/>
    </row>
    <row r="31" spans="2:10" ht="12.75" customHeight="1" x14ac:dyDescent="0.2">
      <c r="B31" s="1133"/>
      <c r="C31" s="1133"/>
      <c r="D31" s="1133"/>
      <c r="E31" s="1133"/>
      <c r="F31" s="1133"/>
      <c r="G31" s="1133"/>
      <c r="H31" s="1133"/>
      <c r="I31" s="1133"/>
      <c r="J31" s="1133"/>
    </row>
    <row r="32" spans="2:10" ht="12.75" customHeight="1" x14ac:dyDescent="0.2">
      <c r="B32" s="1133"/>
      <c r="C32" s="1133"/>
      <c r="D32" s="1133"/>
      <c r="E32" s="1133"/>
      <c r="F32" s="1133"/>
      <c r="G32" s="1133"/>
      <c r="H32" s="1133"/>
      <c r="I32" s="1133"/>
      <c r="J32" s="1133"/>
    </row>
    <row r="33" spans="2:10" ht="12.75" customHeight="1" x14ac:dyDescent="0.2">
      <c r="B33" s="1127" t="s">
        <v>263</v>
      </c>
      <c r="C33" s="1127"/>
      <c r="D33" s="1127"/>
      <c r="E33" s="1127"/>
      <c r="F33" s="1127"/>
      <c r="G33" s="1127"/>
      <c r="H33" s="1127"/>
      <c r="I33" s="1127"/>
      <c r="J33" s="1127"/>
    </row>
    <row r="34" spans="2:10" ht="12.75" customHeight="1" x14ac:dyDescent="0.2">
      <c r="B34" s="1127"/>
      <c r="C34" s="1127"/>
      <c r="D34" s="1127"/>
      <c r="E34" s="1127"/>
      <c r="F34" s="1127"/>
      <c r="G34" s="1127"/>
      <c r="H34" s="1127"/>
      <c r="I34" s="1127"/>
      <c r="J34" s="1127"/>
    </row>
    <row r="35" spans="2:10" ht="12.75" customHeight="1" x14ac:dyDescent="0.2">
      <c r="B35" s="1127"/>
      <c r="C35" s="1127"/>
      <c r="D35" s="1127"/>
      <c r="E35" s="1127"/>
      <c r="F35" s="1127"/>
      <c r="G35" s="1127"/>
      <c r="H35" s="1127"/>
      <c r="I35" s="1127"/>
      <c r="J35" s="1127"/>
    </row>
    <row r="36" spans="2:10" x14ac:dyDescent="0.2">
      <c r="B36" s="1127"/>
      <c r="C36" s="1127"/>
      <c r="D36" s="1127"/>
      <c r="E36" s="1127"/>
      <c r="F36" s="1127"/>
      <c r="G36" s="1127"/>
      <c r="H36" s="1127"/>
      <c r="I36" s="1127"/>
      <c r="J36" s="1127"/>
    </row>
    <row r="37" spans="2:10" x14ac:dyDescent="0.2">
      <c r="B37" s="1127"/>
      <c r="C37" s="1127"/>
      <c r="D37" s="1127"/>
      <c r="E37" s="1127"/>
      <c r="F37" s="1127"/>
      <c r="G37" s="1127"/>
      <c r="H37" s="1127"/>
      <c r="I37" s="1127"/>
      <c r="J37" s="1127"/>
    </row>
    <row r="38" spans="2:10" x14ac:dyDescent="0.2">
      <c r="B38" s="1127"/>
      <c r="C38" s="1127"/>
      <c r="D38" s="1127"/>
      <c r="E38" s="1127"/>
      <c r="F38" s="1127"/>
      <c r="G38" s="1127"/>
      <c r="H38" s="1127"/>
      <c r="I38" s="1127"/>
      <c r="J38" s="1127"/>
    </row>
    <row r="39" spans="2:10" x14ac:dyDescent="0.2">
      <c r="B39" s="1127"/>
      <c r="C39" s="1127"/>
      <c r="D39" s="1127"/>
      <c r="E39" s="1127"/>
      <c r="F39" s="1127"/>
      <c r="G39" s="1127"/>
      <c r="H39" s="1127"/>
      <c r="I39" s="1127"/>
      <c r="J39" s="1127"/>
    </row>
    <row r="40" spans="2:10" x14ac:dyDescent="0.2">
      <c r="B40" s="1127"/>
      <c r="C40" s="1127"/>
      <c r="D40" s="1127"/>
      <c r="E40" s="1127"/>
      <c r="F40" s="1127"/>
      <c r="G40" s="1127"/>
      <c r="H40" s="1127"/>
      <c r="I40" s="1127"/>
      <c r="J40" s="1127"/>
    </row>
    <row r="41" spans="2:10" x14ac:dyDescent="0.2">
      <c r="B41" s="1127"/>
      <c r="C41" s="1127"/>
      <c r="D41" s="1127"/>
      <c r="E41" s="1127"/>
      <c r="F41" s="1127"/>
      <c r="G41" s="1127"/>
      <c r="H41" s="1127"/>
      <c r="I41" s="1127"/>
      <c r="J41" s="1127"/>
    </row>
    <row r="42" spans="2:10" x14ac:dyDescent="0.2">
      <c r="B42" s="1127"/>
      <c r="C42" s="1127"/>
      <c r="D42" s="1127"/>
      <c r="E42" s="1127"/>
      <c r="F42" s="1127"/>
      <c r="G42" s="1127"/>
      <c r="H42" s="1127"/>
      <c r="I42" s="1127"/>
      <c r="J42" s="1127"/>
    </row>
    <row r="43" spans="2:10" x14ac:dyDescent="0.2">
      <c r="B43" s="1127"/>
      <c r="C43" s="1127"/>
      <c r="D43" s="1127"/>
      <c r="E43" s="1127"/>
      <c r="F43" s="1127"/>
      <c r="G43" s="1127"/>
      <c r="H43" s="1127"/>
      <c r="I43" s="1127"/>
      <c r="J43" s="1127"/>
    </row>
    <row r="44" spans="2:10" x14ac:dyDescent="0.2">
      <c r="B44" s="1127"/>
      <c r="C44" s="1127"/>
      <c r="D44" s="1127"/>
      <c r="E44" s="1127"/>
      <c r="F44" s="1127"/>
      <c r="G44" s="1127"/>
      <c r="H44" s="1127"/>
      <c r="I44" s="1127"/>
      <c r="J44" s="1127"/>
    </row>
    <row r="45" spans="2:10" ht="15" x14ac:dyDescent="0.25">
      <c r="B45" s="108" t="s">
        <v>245</v>
      </c>
      <c r="C45" s="109"/>
      <c r="D45" s="109"/>
      <c r="E45" s="109"/>
      <c r="F45" s="109"/>
      <c r="G45" s="109"/>
      <c r="H45" s="109"/>
      <c r="I45" s="109"/>
      <c r="J45" s="109"/>
    </row>
    <row r="46" spans="2:10" ht="15" x14ac:dyDescent="0.25">
      <c r="B46" s="110" t="s">
        <v>246</v>
      </c>
      <c r="C46" s="109"/>
      <c r="D46" s="109"/>
      <c r="E46" s="109"/>
      <c r="F46" s="109"/>
      <c r="G46" s="109"/>
      <c r="H46" s="109"/>
      <c r="I46" s="109"/>
      <c r="J46" s="109"/>
    </row>
    <row r="47" spans="2:10" x14ac:dyDescent="0.2">
      <c r="B47" s="1129" t="s">
        <v>264</v>
      </c>
      <c r="C47" s="1129"/>
      <c r="D47" s="1129"/>
      <c r="E47" s="1129"/>
      <c r="F47" s="1129"/>
      <c r="G47" s="1129"/>
      <c r="H47" s="1129"/>
      <c r="I47" s="1129"/>
      <c r="J47" s="1129"/>
    </row>
    <row r="48" spans="2:10" x14ac:dyDescent="0.2">
      <c r="B48" s="1129"/>
      <c r="C48" s="1129"/>
      <c r="D48" s="1129"/>
      <c r="E48" s="1129"/>
      <c r="F48" s="1129"/>
      <c r="G48" s="1129"/>
      <c r="H48" s="1129"/>
      <c r="I48" s="1129"/>
      <c r="J48" s="1129"/>
    </row>
    <row r="49" spans="2:10" x14ac:dyDescent="0.2">
      <c r="B49" s="1129"/>
      <c r="C49" s="1129"/>
      <c r="D49" s="1129"/>
      <c r="E49" s="1129"/>
      <c r="F49" s="1129"/>
      <c r="G49" s="1129"/>
      <c r="H49" s="1129"/>
      <c r="I49" s="1129"/>
      <c r="J49" s="1129"/>
    </row>
    <row r="50" spans="2:10" x14ac:dyDescent="0.2">
      <c r="B50" s="1129"/>
      <c r="C50" s="1129"/>
      <c r="D50" s="1129"/>
      <c r="E50" s="1129"/>
      <c r="F50" s="1129"/>
      <c r="G50" s="1129"/>
      <c r="H50" s="1129"/>
      <c r="I50" s="1129"/>
      <c r="J50" s="1129"/>
    </row>
    <row r="51" spans="2:10" x14ac:dyDescent="0.2">
      <c r="B51" s="1129"/>
      <c r="C51" s="1129"/>
      <c r="D51" s="1129"/>
      <c r="E51" s="1129"/>
      <c r="F51" s="1129"/>
      <c r="G51" s="1129"/>
      <c r="H51" s="1129"/>
      <c r="I51" s="1129"/>
      <c r="J51" s="1129"/>
    </row>
    <row r="52" spans="2:10" x14ac:dyDescent="0.2">
      <c r="B52" s="1129"/>
      <c r="C52" s="1129"/>
      <c r="D52" s="1129"/>
      <c r="E52" s="1129"/>
      <c r="F52" s="1129"/>
      <c r="G52" s="1129"/>
      <c r="H52" s="1129"/>
      <c r="I52" s="1129"/>
      <c r="J52" s="1129"/>
    </row>
    <row r="53" spans="2:10" x14ac:dyDescent="0.2">
      <c r="B53" s="1129"/>
      <c r="C53" s="1129"/>
      <c r="D53" s="1129"/>
      <c r="E53" s="1129"/>
      <c r="F53" s="1129"/>
      <c r="G53" s="1129"/>
      <c r="H53" s="1129"/>
      <c r="I53" s="1129"/>
      <c r="J53" s="1129"/>
    </row>
    <row r="54" spans="2:10" x14ac:dyDescent="0.2">
      <c r="B54" s="1129"/>
      <c r="C54" s="1129"/>
      <c r="D54" s="1129"/>
      <c r="E54" s="1129"/>
      <c r="F54" s="1129"/>
      <c r="G54" s="1129"/>
      <c r="H54" s="1129"/>
      <c r="I54" s="1129"/>
      <c r="J54" s="1129"/>
    </row>
    <row r="55" spans="2:10" x14ac:dyDescent="0.2">
      <c r="B55" s="1129"/>
      <c r="C55" s="1129"/>
      <c r="D55" s="1129"/>
      <c r="E55" s="1129"/>
      <c r="F55" s="1129"/>
      <c r="G55" s="1129"/>
      <c r="H55" s="1129"/>
      <c r="I55" s="1129"/>
      <c r="J55" s="1129"/>
    </row>
    <row r="56" spans="2:10" ht="12.75" customHeight="1" x14ac:dyDescent="0.2">
      <c r="B56" s="1129"/>
      <c r="C56" s="1129"/>
      <c r="D56" s="1129"/>
      <c r="E56" s="1129"/>
      <c r="F56" s="1129"/>
      <c r="G56" s="1129"/>
      <c r="H56" s="1129"/>
      <c r="I56" s="1129"/>
      <c r="J56" s="1129"/>
    </row>
    <row r="57" spans="2:10" ht="12.75" customHeight="1" x14ac:dyDescent="0.2">
      <c r="B57" s="1129" t="s">
        <v>265</v>
      </c>
      <c r="C57" s="1129"/>
      <c r="D57" s="1129"/>
      <c r="E57" s="1129"/>
      <c r="F57" s="1129"/>
      <c r="G57" s="1129"/>
      <c r="H57" s="1129"/>
      <c r="I57" s="1129"/>
      <c r="J57" s="1129"/>
    </row>
    <row r="58" spans="2:10" ht="12.75" customHeight="1" x14ac:dyDescent="0.2">
      <c r="B58" s="1129"/>
      <c r="C58" s="1129"/>
      <c r="D58" s="1129"/>
      <c r="E58" s="1129"/>
      <c r="F58" s="1129"/>
      <c r="G58" s="1129"/>
      <c r="H58" s="1129"/>
      <c r="I58" s="1129"/>
      <c r="J58" s="1129"/>
    </row>
    <row r="59" spans="2:10" ht="12.75" customHeight="1" x14ac:dyDescent="0.2">
      <c r="B59" s="1129"/>
      <c r="C59" s="1129"/>
      <c r="D59" s="1129"/>
      <c r="E59" s="1129"/>
      <c r="F59" s="1129"/>
      <c r="G59" s="1129"/>
      <c r="H59" s="1129"/>
      <c r="I59" s="1129"/>
      <c r="J59" s="1129"/>
    </row>
    <row r="60" spans="2:10" ht="12.75" customHeight="1" x14ac:dyDescent="0.2">
      <c r="B60" s="1129"/>
      <c r="C60" s="1129"/>
      <c r="D60" s="1129"/>
      <c r="E60" s="1129"/>
      <c r="F60" s="1129"/>
      <c r="G60" s="1129"/>
      <c r="H60" s="1129"/>
      <c r="I60" s="1129"/>
      <c r="J60" s="1129"/>
    </row>
    <row r="61" spans="2:10" ht="12.75" customHeight="1" x14ac:dyDescent="0.2">
      <c r="B61" s="1129"/>
      <c r="C61" s="1129"/>
      <c r="D61" s="1129"/>
      <c r="E61" s="1129"/>
      <c r="F61" s="1129"/>
      <c r="G61" s="1129"/>
      <c r="H61" s="1129"/>
      <c r="I61" s="1129"/>
      <c r="J61" s="1129"/>
    </row>
    <row r="62" spans="2:10" ht="12.75" customHeight="1" x14ac:dyDescent="0.2">
      <c r="B62" s="1129"/>
      <c r="C62" s="1129"/>
      <c r="D62" s="1129"/>
      <c r="E62" s="1129"/>
      <c r="F62" s="1129"/>
      <c r="G62" s="1129"/>
      <c r="H62" s="1129"/>
      <c r="I62" s="1129"/>
      <c r="J62" s="1129"/>
    </row>
    <row r="63" spans="2:10" ht="12.75" customHeight="1" x14ac:dyDescent="0.2">
      <c r="B63" s="1129"/>
      <c r="C63" s="1129"/>
      <c r="D63" s="1129"/>
      <c r="E63" s="1129"/>
      <c r="F63" s="1129"/>
      <c r="G63" s="1129"/>
      <c r="H63" s="1129"/>
      <c r="I63" s="1129"/>
      <c r="J63" s="1129"/>
    </row>
    <row r="64" spans="2:10" ht="12.75" customHeight="1" x14ac:dyDescent="0.2">
      <c r="B64" s="1129"/>
      <c r="C64" s="1129"/>
      <c r="D64" s="1129"/>
      <c r="E64" s="1129"/>
      <c r="F64" s="1129"/>
      <c r="G64" s="1129"/>
      <c r="H64" s="1129"/>
      <c r="I64" s="1129"/>
      <c r="J64" s="1129"/>
    </row>
    <row r="65" spans="2:10" ht="12.75" customHeight="1" x14ac:dyDescent="0.2">
      <c r="B65" s="1129"/>
      <c r="C65" s="1129"/>
      <c r="D65" s="1129"/>
      <c r="E65" s="1129"/>
      <c r="F65" s="1129"/>
      <c r="G65" s="1129"/>
      <c r="H65" s="1129"/>
      <c r="I65" s="1129"/>
      <c r="J65" s="1129"/>
    </row>
    <row r="66" spans="2:10" ht="12.75" customHeight="1" x14ac:dyDescent="0.2">
      <c r="B66" s="1129"/>
      <c r="C66" s="1129"/>
      <c r="D66" s="1129"/>
      <c r="E66" s="1129"/>
      <c r="F66" s="1129"/>
      <c r="G66" s="1129"/>
      <c r="H66" s="1129"/>
      <c r="I66" s="1129"/>
      <c r="J66" s="1129"/>
    </row>
    <row r="67" spans="2:10" ht="12.75" customHeight="1" x14ac:dyDescent="0.2">
      <c r="B67" s="1129"/>
      <c r="C67" s="1129"/>
      <c r="D67" s="1129"/>
      <c r="E67" s="1129"/>
      <c r="F67" s="1129"/>
      <c r="G67" s="1129"/>
      <c r="H67" s="1129"/>
      <c r="I67" s="1129"/>
      <c r="J67" s="1129"/>
    </row>
    <row r="68" spans="2:10" ht="12.75" customHeight="1" x14ac:dyDescent="0.2">
      <c r="B68" s="1129" t="s">
        <v>266</v>
      </c>
      <c r="C68" s="1129"/>
      <c r="D68" s="1129"/>
      <c r="E68" s="1129"/>
      <c r="F68" s="1129"/>
      <c r="G68" s="1129"/>
      <c r="H68" s="1129"/>
      <c r="I68" s="1129"/>
      <c r="J68" s="1129"/>
    </row>
    <row r="69" spans="2:10" ht="12.75" customHeight="1" x14ac:dyDescent="0.2">
      <c r="B69" s="1129"/>
      <c r="C69" s="1129"/>
      <c r="D69" s="1129"/>
      <c r="E69" s="1129"/>
      <c r="F69" s="1129"/>
      <c r="G69" s="1129"/>
      <c r="H69" s="1129"/>
      <c r="I69" s="1129"/>
      <c r="J69" s="1129"/>
    </row>
    <row r="70" spans="2:10" ht="12.75" customHeight="1" x14ac:dyDescent="0.2">
      <c r="B70" s="1129"/>
      <c r="C70" s="1129"/>
      <c r="D70" s="1129"/>
      <c r="E70" s="1129"/>
      <c r="F70" s="1129"/>
      <c r="G70" s="1129"/>
      <c r="H70" s="1129"/>
      <c r="I70" s="1129"/>
      <c r="J70" s="1129"/>
    </row>
    <row r="71" spans="2:10" ht="12.75" customHeight="1" x14ac:dyDescent="0.2">
      <c r="B71" s="1129"/>
      <c r="C71" s="1129"/>
      <c r="D71" s="1129"/>
      <c r="E71" s="1129"/>
      <c r="F71" s="1129"/>
      <c r="G71" s="1129"/>
      <c r="H71" s="1129"/>
      <c r="I71" s="1129"/>
      <c r="J71" s="1129"/>
    </row>
    <row r="72" spans="2:10" ht="12.75" customHeight="1" x14ac:dyDescent="0.2">
      <c r="B72" s="1129"/>
      <c r="C72" s="1129"/>
      <c r="D72" s="1129"/>
      <c r="E72" s="1129"/>
      <c r="F72" s="1129"/>
      <c r="G72" s="1129"/>
      <c r="H72" s="1129"/>
      <c r="I72" s="1129"/>
      <c r="J72" s="1129"/>
    </row>
    <row r="73" spans="2:10" ht="12.75" customHeight="1" x14ac:dyDescent="0.2">
      <c r="B73" s="1129"/>
      <c r="C73" s="1129"/>
      <c r="D73" s="1129"/>
      <c r="E73" s="1129"/>
      <c r="F73" s="1129"/>
      <c r="G73" s="1129"/>
      <c r="H73" s="1129"/>
      <c r="I73" s="1129"/>
      <c r="J73" s="1129"/>
    </row>
    <row r="74" spans="2:10" ht="12.75" customHeight="1" x14ac:dyDescent="0.2">
      <c r="B74" s="1129"/>
      <c r="C74" s="1129"/>
      <c r="D74" s="1129"/>
      <c r="E74" s="1129"/>
      <c r="F74" s="1129"/>
      <c r="G74" s="1129"/>
      <c r="H74" s="1129"/>
      <c r="I74" s="1129"/>
      <c r="J74" s="1129"/>
    </row>
    <row r="75" spans="2:10" ht="12.75" customHeight="1" x14ac:dyDescent="0.2">
      <c r="B75" s="1129"/>
      <c r="C75" s="1129"/>
      <c r="D75" s="1129"/>
      <c r="E75" s="1129"/>
      <c r="F75" s="1129"/>
      <c r="G75" s="1129"/>
      <c r="H75" s="1129"/>
      <c r="I75" s="1129"/>
      <c r="J75" s="1129"/>
    </row>
    <row r="76" spans="2:10" ht="12.75" customHeight="1" x14ac:dyDescent="0.2">
      <c r="B76" s="1129"/>
      <c r="C76" s="1129"/>
      <c r="D76" s="1129"/>
      <c r="E76" s="1129"/>
      <c r="F76" s="1129"/>
      <c r="G76" s="1129"/>
      <c r="H76" s="1129"/>
      <c r="I76" s="1129"/>
      <c r="J76" s="1129"/>
    </row>
    <row r="77" spans="2:10" ht="12.75" customHeight="1" x14ac:dyDescent="0.2">
      <c r="B77" s="1129"/>
      <c r="C77" s="1129"/>
      <c r="D77" s="1129"/>
      <c r="E77" s="1129"/>
      <c r="F77" s="1129"/>
      <c r="G77" s="1129"/>
      <c r="H77" s="1129"/>
      <c r="I77" s="1129"/>
      <c r="J77" s="1129"/>
    </row>
    <row r="78" spans="2:10" ht="12.75" customHeight="1" x14ac:dyDescent="0.2">
      <c r="B78" s="1129" t="s">
        <v>267</v>
      </c>
      <c r="C78" s="1129"/>
      <c r="D78" s="1129"/>
      <c r="E78" s="1129"/>
      <c r="F78" s="1129"/>
      <c r="G78" s="1129"/>
      <c r="H78" s="1129"/>
      <c r="I78" s="1129"/>
      <c r="J78" s="1129"/>
    </row>
    <row r="79" spans="2:10" ht="12.75" customHeight="1" x14ac:dyDescent="0.2">
      <c r="B79" s="1129"/>
      <c r="C79" s="1129"/>
      <c r="D79" s="1129"/>
      <c r="E79" s="1129"/>
      <c r="F79" s="1129"/>
      <c r="G79" s="1129"/>
      <c r="H79" s="1129"/>
      <c r="I79" s="1129"/>
      <c r="J79" s="1129"/>
    </row>
    <row r="80" spans="2:10" ht="14.25" customHeight="1" x14ac:dyDescent="0.2">
      <c r="B80" s="1129"/>
      <c r="C80" s="1129"/>
      <c r="D80" s="1129"/>
      <c r="E80" s="1129"/>
      <c r="F80" s="1129"/>
      <c r="G80" s="1129"/>
      <c r="H80" s="1129"/>
      <c r="I80" s="1129"/>
      <c r="J80" s="1129"/>
    </row>
    <row r="81" spans="2:10" ht="14.25" customHeight="1" x14ac:dyDescent="0.2">
      <c r="B81" s="1129"/>
      <c r="C81" s="1129"/>
      <c r="D81" s="1129"/>
      <c r="E81" s="1129"/>
      <c r="F81" s="1129"/>
      <c r="G81" s="1129"/>
      <c r="H81" s="1129"/>
      <c r="I81" s="1129"/>
      <c r="J81" s="1129"/>
    </row>
    <row r="82" spans="2:10" ht="14.25" customHeight="1" x14ac:dyDescent="0.2">
      <c r="B82" s="1129"/>
      <c r="C82" s="1129"/>
      <c r="D82" s="1129"/>
      <c r="E82" s="1129"/>
      <c r="F82" s="1129"/>
      <c r="G82" s="1129"/>
      <c r="H82" s="1129"/>
      <c r="I82" s="1129"/>
      <c r="J82" s="1129"/>
    </row>
    <row r="83" spans="2:10" ht="14.25" customHeight="1" x14ac:dyDescent="0.2">
      <c r="B83" s="1129"/>
      <c r="C83" s="1129"/>
      <c r="D83" s="1129"/>
      <c r="E83" s="1129"/>
      <c r="F83" s="1129"/>
      <c r="G83" s="1129"/>
      <c r="H83" s="1129"/>
      <c r="I83" s="1129"/>
      <c r="J83" s="1129"/>
    </row>
    <row r="84" spans="2:10" ht="14.25" customHeight="1" x14ac:dyDescent="0.2">
      <c r="B84" s="1129"/>
      <c r="C84" s="1129"/>
      <c r="D84" s="1129"/>
      <c r="E84" s="1129"/>
      <c r="F84" s="1129"/>
      <c r="G84" s="1129"/>
      <c r="H84" s="1129"/>
      <c r="I84" s="1129"/>
      <c r="J84" s="1129"/>
    </row>
    <row r="85" spans="2:10" ht="14.25" customHeight="1" x14ac:dyDescent="0.2">
      <c r="B85" s="1129"/>
      <c r="C85" s="1129"/>
      <c r="D85" s="1129"/>
      <c r="E85" s="1129"/>
      <c r="F85" s="1129"/>
      <c r="G85" s="1129"/>
      <c r="H85" s="1129"/>
      <c r="I85" s="1129"/>
      <c r="J85" s="1129"/>
    </row>
    <row r="86" spans="2:10" ht="14.25" customHeight="1" x14ac:dyDescent="0.2">
      <c r="B86" s="1129"/>
      <c r="C86" s="1129"/>
      <c r="D86" s="1129"/>
      <c r="E86" s="1129"/>
      <c r="F86" s="1129"/>
      <c r="G86" s="1129"/>
      <c r="H86" s="1129"/>
      <c r="I86" s="1129"/>
      <c r="J86" s="1129"/>
    </row>
    <row r="87" spans="2:10" ht="14.25" customHeight="1" x14ac:dyDescent="0.2">
      <c r="B87" s="1129"/>
      <c r="C87" s="1129"/>
      <c r="D87" s="1129"/>
      <c r="E87" s="1129"/>
      <c r="F87" s="1129"/>
      <c r="G87" s="1129"/>
      <c r="H87" s="1129"/>
      <c r="I87" s="1129"/>
      <c r="J87" s="1129"/>
    </row>
    <row r="88" spans="2:10" ht="14.25" customHeight="1" x14ac:dyDescent="0.2">
      <c r="B88" s="1129"/>
      <c r="C88" s="1129"/>
      <c r="D88" s="1129"/>
      <c r="E88" s="1129"/>
      <c r="F88" s="1129"/>
      <c r="G88" s="1129"/>
      <c r="H88" s="1129"/>
      <c r="I88" s="1129"/>
      <c r="J88" s="1129"/>
    </row>
    <row r="89" spans="2:10" ht="14.25" customHeight="1" x14ac:dyDescent="0.2">
      <c r="B89" s="1129"/>
      <c r="C89" s="1129"/>
      <c r="D89" s="1129"/>
      <c r="E89" s="1129"/>
      <c r="F89" s="1129"/>
      <c r="G89" s="1129"/>
      <c r="H89" s="1129"/>
      <c r="I89" s="1129"/>
      <c r="J89" s="1129"/>
    </row>
    <row r="90" spans="2:10" ht="15" x14ac:dyDescent="0.25">
      <c r="B90" s="110" t="s">
        <v>247</v>
      </c>
      <c r="C90" s="109"/>
      <c r="D90" s="109"/>
      <c r="E90" s="109"/>
      <c r="F90" s="109"/>
      <c r="G90" s="109"/>
      <c r="H90" s="109"/>
      <c r="I90" s="109"/>
      <c r="J90" s="109"/>
    </row>
    <row r="91" spans="2:10" x14ac:dyDescent="0.2">
      <c r="B91" s="1129" t="s">
        <v>548</v>
      </c>
      <c r="C91" s="1129"/>
      <c r="D91" s="1129"/>
      <c r="E91" s="1129"/>
      <c r="F91" s="1129"/>
      <c r="G91" s="1129"/>
      <c r="H91" s="1129"/>
      <c r="I91" s="1129"/>
      <c r="J91" s="1129"/>
    </row>
    <row r="92" spans="2:10" x14ac:dyDescent="0.2">
      <c r="B92" s="1129"/>
      <c r="C92" s="1129"/>
      <c r="D92" s="1129"/>
      <c r="E92" s="1129"/>
      <c r="F92" s="1129"/>
      <c r="G92" s="1129"/>
      <c r="H92" s="1129"/>
      <c r="I92" s="1129"/>
      <c r="J92" s="1129"/>
    </row>
    <row r="93" spans="2:10" x14ac:dyDescent="0.2">
      <c r="B93" s="1129"/>
      <c r="C93" s="1129"/>
      <c r="D93" s="1129"/>
      <c r="E93" s="1129"/>
      <c r="F93" s="1129"/>
      <c r="G93" s="1129"/>
      <c r="H93" s="1129"/>
      <c r="I93" s="1129"/>
      <c r="J93" s="1129"/>
    </row>
    <row r="94" spans="2:10" x14ac:dyDescent="0.2">
      <c r="B94" s="1129"/>
      <c r="C94" s="1129"/>
      <c r="D94" s="1129"/>
      <c r="E94" s="1129"/>
      <c r="F94" s="1129"/>
      <c r="G94" s="1129"/>
      <c r="H94" s="1129"/>
      <c r="I94" s="1129"/>
      <c r="J94" s="1129"/>
    </row>
    <row r="95" spans="2:10" x14ac:dyDescent="0.2">
      <c r="B95" s="1129"/>
      <c r="C95" s="1129"/>
      <c r="D95" s="1129"/>
      <c r="E95" s="1129"/>
      <c r="F95" s="1129"/>
      <c r="G95" s="1129"/>
      <c r="H95" s="1129"/>
      <c r="I95" s="1129"/>
      <c r="J95" s="1129"/>
    </row>
    <row r="96" spans="2:10" x14ac:dyDescent="0.2">
      <c r="B96" s="1129"/>
      <c r="C96" s="1129"/>
      <c r="D96" s="1129"/>
      <c r="E96" s="1129"/>
      <c r="F96" s="1129"/>
      <c r="G96" s="1129"/>
      <c r="H96" s="1129"/>
      <c r="I96" s="1129"/>
      <c r="J96" s="1129"/>
    </row>
    <row r="97" spans="2:10" x14ac:dyDescent="0.2">
      <c r="B97" s="1129"/>
      <c r="C97" s="1129"/>
      <c r="D97" s="1129"/>
      <c r="E97" s="1129"/>
      <c r="F97" s="1129"/>
      <c r="G97" s="1129"/>
      <c r="H97" s="1129"/>
      <c r="I97" s="1129"/>
      <c r="J97" s="1129"/>
    </row>
    <row r="98" spans="2:10" x14ac:dyDescent="0.2">
      <c r="B98" s="1129"/>
      <c r="C98" s="1129"/>
      <c r="D98" s="1129"/>
      <c r="E98" s="1129"/>
      <c r="F98" s="1129"/>
      <c r="G98" s="1129"/>
      <c r="H98" s="1129"/>
      <c r="I98" s="1129"/>
      <c r="J98" s="1129"/>
    </row>
    <row r="99" spans="2:10" x14ac:dyDescent="0.2">
      <c r="B99" s="1129"/>
      <c r="C99" s="1129"/>
      <c r="D99" s="1129"/>
      <c r="E99" s="1129"/>
      <c r="F99" s="1129"/>
      <c r="G99" s="1129"/>
      <c r="H99" s="1129"/>
      <c r="I99" s="1129"/>
      <c r="J99" s="1129"/>
    </row>
    <row r="100" spans="2:10" x14ac:dyDescent="0.2">
      <c r="B100" s="1129"/>
      <c r="C100" s="1129"/>
      <c r="D100" s="1129"/>
      <c r="E100" s="1129"/>
      <c r="F100" s="1129"/>
      <c r="G100" s="1129"/>
      <c r="H100" s="1129"/>
      <c r="I100" s="1129"/>
      <c r="J100" s="1129"/>
    </row>
    <row r="101" spans="2:10" x14ac:dyDescent="0.2">
      <c r="B101" s="1129"/>
      <c r="C101" s="1129"/>
      <c r="D101" s="1129"/>
      <c r="E101" s="1129"/>
      <c r="F101" s="1129"/>
      <c r="G101" s="1129"/>
      <c r="H101" s="1129"/>
      <c r="I101" s="1129"/>
      <c r="J101" s="1129"/>
    </row>
    <row r="102" spans="2:10" x14ac:dyDescent="0.2">
      <c r="B102" s="1129"/>
      <c r="C102" s="1129"/>
      <c r="D102" s="1129"/>
      <c r="E102" s="1129"/>
      <c r="F102" s="1129"/>
      <c r="G102" s="1129"/>
      <c r="H102" s="1129"/>
      <c r="I102" s="1129"/>
      <c r="J102" s="1129"/>
    </row>
    <row r="103" spans="2:10" ht="15" x14ac:dyDescent="0.25">
      <c r="B103" s="110" t="s">
        <v>248</v>
      </c>
      <c r="C103" s="109"/>
      <c r="D103" s="109"/>
      <c r="E103" s="109"/>
      <c r="F103" s="109"/>
      <c r="G103" s="109"/>
      <c r="H103" s="109"/>
      <c r="I103" s="109"/>
      <c r="J103" s="109"/>
    </row>
    <row r="104" spans="2:10" x14ac:dyDescent="0.2">
      <c r="B104" s="1129" t="s">
        <v>275</v>
      </c>
      <c r="C104" s="1129"/>
      <c r="D104" s="1129"/>
      <c r="E104" s="1129"/>
      <c r="F104" s="1129"/>
      <c r="G104" s="1129"/>
      <c r="H104" s="1129"/>
      <c r="I104" s="1129"/>
      <c r="J104" s="1129"/>
    </row>
    <row r="105" spans="2:10" x14ac:dyDescent="0.2">
      <c r="B105" s="1129"/>
      <c r="C105" s="1129"/>
      <c r="D105" s="1129"/>
      <c r="E105" s="1129"/>
      <c r="F105" s="1129"/>
      <c r="G105" s="1129"/>
      <c r="H105" s="1129"/>
      <c r="I105" s="1129"/>
      <c r="J105" s="1129"/>
    </row>
    <row r="106" spans="2:10" x14ac:dyDescent="0.2">
      <c r="B106" s="1129"/>
      <c r="C106" s="1129"/>
      <c r="D106" s="1129"/>
      <c r="E106" s="1129"/>
      <c r="F106" s="1129"/>
      <c r="G106" s="1129"/>
      <c r="H106" s="1129"/>
      <c r="I106" s="1129"/>
      <c r="J106" s="1129"/>
    </row>
    <row r="107" spans="2:10" x14ac:dyDescent="0.2">
      <c r="B107" s="1129"/>
      <c r="C107" s="1129"/>
      <c r="D107" s="1129"/>
      <c r="E107" s="1129"/>
      <c r="F107" s="1129"/>
      <c r="G107" s="1129"/>
      <c r="H107" s="1129"/>
      <c r="I107" s="1129"/>
      <c r="J107" s="1129"/>
    </row>
    <row r="108" spans="2:10" x14ac:dyDescent="0.2">
      <c r="B108" s="1129"/>
      <c r="C108" s="1129"/>
      <c r="D108" s="1129"/>
      <c r="E108" s="1129"/>
      <c r="F108" s="1129"/>
      <c r="G108" s="1129"/>
      <c r="H108" s="1129"/>
      <c r="I108" s="1129"/>
      <c r="J108" s="1129"/>
    </row>
    <row r="109" spans="2:10" x14ac:dyDescent="0.2">
      <c r="B109" s="1129"/>
      <c r="C109" s="1129"/>
      <c r="D109" s="1129"/>
      <c r="E109" s="1129"/>
      <c r="F109" s="1129"/>
      <c r="G109" s="1129"/>
      <c r="H109" s="1129"/>
      <c r="I109" s="1129"/>
      <c r="J109" s="1129"/>
    </row>
    <row r="110" spans="2:10" x14ac:dyDescent="0.2">
      <c r="B110" s="1129"/>
      <c r="C110" s="1129"/>
      <c r="D110" s="1129"/>
      <c r="E110" s="1129"/>
      <c r="F110" s="1129"/>
      <c r="G110" s="1129"/>
      <c r="H110" s="1129"/>
      <c r="I110" s="1129"/>
      <c r="J110" s="1129"/>
    </row>
    <row r="111" spans="2:10" x14ac:dyDescent="0.2">
      <c r="B111" s="1129"/>
      <c r="C111" s="1129"/>
      <c r="D111" s="1129"/>
      <c r="E111" s="1129"/>
      <c r="F111" s="1129"/>
      <c r="G111" s="1129"/>
      <c r="H111" s="1129"/>
      <c r="I111" s="1129"/>
      <c r="J111" s="1129"/>
    </row>
    <row r="112" spans="2:10" x14ac:dyDescent="0.2">
      <c r="B112" s="1129"/>
      <c r="C112" s="1129"/>
      <c r="D112" s="1129"/>
      <c r="E112" s="1129"/>
      <c r="F112" s="1129"/>
      <c r="G112" s="1129"/>
      <c r="H112" s="1129"/>
      <c r="I112" s="1129"/>
      <c r="J112" s="1129"/>
    </row>
    <row r="113" spans="2:10" x14ac:dyDescent="0.2">
      <c r="B113" s="1129"/>
      <c r="C113" s="1129"/>
      <c r="D113" s="1129"/>
      <c r="E113" s="1129"/>
      <c r="F113" s="1129"/>
      <c r="G113" s="1129"/>
      <c r="H113" s="1129"/>
      <c r="I113" s="1129"/>
      <c r="J113" s="1129"/>
    </row>
    <row r="114" spans="2:10" x14ac:dyDescent="0.2">
      <c r="B114" s="1129"/>
      <c r="C114" s="1129"/>
      <c r="D114" s="1129"/>
      <c r="E114" s="1129"/>
      <c r="F114" s="1129"/>
      <c r="G114" s="1129"/>
      <c r="H114" s="1129"/>
      <c r="I114" s="1129"/>
      <c r="J114" s="1129"/>
    </row>
    <row r="115" spans="2:10" x14ac:dyDescent="0.2">
      <c r="B115" s="1129"/>
      <c r="C115" s="1129"/>
      <c r="D115" s="1129"/>
      <c r="E115" s="1129"/>
      <c r="F115" s="1129"/>
      <c r="G115" s="1129"/>
      <c r="H115" s="1129"/>
      <c r="I115" s="1129"/>
      <c r="J115" s="1129"/>
    </row>
    <row r="116" spans="2:10" ht="15" x14ac:dyDescent="0.25">
      <c r="B116" s="110" t="s">
        <v>249</v>
      </c>
      <c r="C116" s="109"/>
      <c r="D116" s="109"/>
      <c r="E116" s="109"/>
      <c r="F116" s="109"/>
      <c r="G116" s="109"/>
      <c r="H116" s="109"/>
      <c r="I116" s="109"/>
      <c r="J116" s="109"/>
    </row>
    <row r="117" spans="2:10" ht="15" x14ac:dyDescent="0.25">
      <c r="B117" s="111" t="s">
        <v>250</v>
      </c>
      <c r="C117" s="109"/>
      <c r="D117" s="109"/>
      <c r="E117" s="109"/>
      <c r="F117" s="109"/>
      <c r="G117" s="109"/>
      <c r="H117" s="109"/>
      <c r="I117" s="109"/>
      <c r="J117" s="109"/>
    </row>
    <row r="118" spans="2:10" x14ac:dyDescent="0.2">
      <c r="B118" s="1127" t="s">
        <v>268</v>
      </c>
      <c r="C118" s="1127"/>
      <c r="D118" s="1127"/>
      <c r="E118" s="1127"/>
      <c r="F118" s="1127"/>
      <c r="G118" s="1127"/>
      <c r="H118" s="1127"/>
      <c r="I118" s="1127"/>
      <c r="J118" s="1127"/>
    </row>
    <row r="119" spans="2:10" x14ac:dyDescent="0.2">
      <c r="B119" s="1127"/>
      <c r="C119" s="1127"/>
      <c r="D119" s="1127"/>
      <c r="E119" s="1127"/>
      <c r="F119" s="1127"/>
      <c r="G119" s="1127"/>
      <c r="H119" s="1127"/>
      <c r="I119" s="1127"/>
      <c r="J119" s="1127"/>
    </row>
    <row r="120" spans="2:10" x14ac:dyDescent="0.2">
      <c r="B120" s="1127"/>
      <c r="C120" s="1127"/>
      <c r="D120" s="1127"/>
      <c r="E120" s="1127"/>
      <c r="F120" s="1127"/>
      <c r="G120" s="1127"/>
      <c r="H120" s="1127"/>
      <c r="I120" s="1127"/>
      <c r="J120" s="1127"/>
    </row>
    <row r="121" spans="2:10" x14ac:dyDescent="0.2">
      <c r="B121" s="1127"/>
      <c r="C121" s="1127"/>
      <c r="D121" s="1127"/>
      <c r="E121" s="1127"/>
      <c r="F121" s="1127"/>
      <c r="G121" s="1127"/>
      <c r="H121" s="1127"/>
      <c r="I121" s="1127"/>
      <c r="J121" s="1127"/>
    </row>
    <row r="122" spans="2:10" x14ac:dyDescent="0.2">
      <c r="B122" s="1127"/>
      <c r="C122" s="1127"/>
      <c r="D122" s="1127"/>
      <c r="E122" s="1127"/>
      <c r="F122" s="1127"/>
      <c r="G122" s="1127"/>
      <c r="H122" s="1127"/>
      <c r="I122" s="1127"/>
      <c r="J122" s="1127"/>
    </row>
    <row r="123" spans="2:10" x14ac:dyDescent="0.2">
      <c r="B123" s="1127"/>
      <c r="C123" s="1127"/>
      <c r="D123" s="1127"/>
      <c r="E123" s="1127"/>
      <c r="F123" s="1127"/>
      <c r="G123" s="1127"/>
      <c r="H123" s="1127"/>
      <c r="I123" s="1127"/>
      <c r="J123" s="1127"/>
    </row>
    <row r="124" spans="2:10" x14ac:dyDescent="0.2">
      <c r="B124" s="1128" t="s">
        <v>549</v>
      </c>
      <c r="C124" s="1128"/>
      <c r="D124" s="1128"/>
      <c r="E124" s="1128"/>
      <c r="F124" s="1128"/>
      <c r="G124" s="1128"/>
      <c r="H124" s="1128"/>
      <c r="I124" s="1128"/>
      <c r="J124" s="1128"/>
    </row>
    <row r="125" spans="2:10" x14ac:dyDescent="0.2">
      <c r="B125" s="1128"/>
      <c r="C125" s="1128"/>
      <c r="D125" s="1128"/>
      <c r="E125" s="1128"/>
      <c r="F125" s="1128"/>
      <c r="G125" s="1128"/>
      <c r="H125" s="1128"/>
      <c r="I125" s="1128"/>
      <c r="J125" s="1128"/>
    </row>
    <row r="126" spans="2:10" x14ac:dyDescent="0.2">
      <c r="B126" s="1128"/>
      <c r="C126" s="1128"/>
      <c r="D126" s="1128"/>
      <c r="E126" s="1128"/>
      <c r="F126" s="1128"/>
      <c r="G126" s="1128"/>
      <c r="H126" s="1128"/>
      <c r="I126" s="1128"/>
      <c r="J126" s="1128"/>
    </row>
    <row r="127" spans="2:10" x14ac:dyDescent="0.2">
      <c r="B127" s="1128"/>
      <c r="C127" s="1128"/>
      <c r="D127" s="1128"/>
      <c r="E127" s="1128"/>
      <c r="F127" s="1128"/>
      <c r="G127" s="1128"/>
      <c r="H127" s="1128"/>
      <c r="I127" s="1128"/>
      <c r="J127" s="1128"/>
    </row>
    <row r="128" spans="2:10" x14ac:dyDescent="0.2">
      <c r="B128" s="1128"/>
      <c r="C128" s="1128"/>
      <c r="D128" s="1128"/>
      <c r="E128" s="1128"/>
      <c r="F128" s="1128"/>
      <c r="G128" s="1128"/>
      <c r="H128" s="1128"/>
      <c r="I128" s="1128"/>
      <c r="J128" s="1128"/>
    </row>
    <row r="129" spans="2:10" x14ac:dyDescent="0.2">
      <c r="B129" s="1128"/>
      <c r="C129" s="1128"/>
      <c r="D129" s="1128"/>
      <c r="E129" s="1128"/>
      <c r="F129" s="1128"/>
      <c r="G129" s="1128"/>
      <c r="H129" s="1128"/>
      <c r="I129" s="1128"/>
      <c r="J129" s="1128"/>
    </row>
    <row r="130" spans="2:10" ht="15" x14ac:dyDescent="0.25">
      <c r="B130" s="111" t="s">
        <v>251</v>
      </c>
      <c r="C130" s="109"/>
      <c r="D130" s="109"/>
      <c r="E130" s="109"/>
      <c r="F130" s="109"/>
      <c r="G130" s="109"/>
      <c r="H130" s="109"/>
      <c r="I130" s="109"/>
      <c r="J130" s="109"/>
    </row>
    <row r="131" spans="2:10" x14ac:dyDescent="0.2">
      <c r="B131" s="1127" t="s">
        <v>269</v>
      </c>
      <c r="C131" s="1127"/>
      <c r="D131" s="1127"/>
      <c r="E131" s="1127"/>
      <c r="F131" s="1127"/>
      <c r="G131" s="1127"/>
      <c r="H131" s="1127"/>
      <c r="I131" s="1127"/>
      <c r="J131" s="1127"/>
    </row>
    <row r="132" spans="2:10" x14ac:dyDescent="0.2">
      <c r="B132" s="1127"/>
      <c r="C132" s="1127"/>
      <c r="D132" s="1127"/>
      <c r="E132" s="1127"/>
      <c r="F132" s="1127"/>
      <c r="G132" s="1127"/>
      <c r="H132" s="1127"/>
      <c r="I132" s="1127"/>
      <c r="J132" s="1127"/>
    </row>
    <row r="133" spans="2:10" x14ac:dyDescent="0.2">
      <c r="B133" s="1127"/>
      <c r="C133" s="1127"/>
      <c r="D133" s="1127"/>
      <c r="E133" s="1127"/>
      <c r="F133" s="1127"/>
      <c r="G133" s="1127"/>
      <c r="H133" s="1127"/>
      <c r="I133" s="1127"/>
      <c r="J133" s="1127"/>
    </row>
    <row r="134" spans="2:10" x14ac:dyDescent="0.2">
      <c r="B134" s="1127"/>
      <c r="C134" s="1127"/>
      <c r="D134" s="1127"/>
      <c r="E134" s="1127"/>
      <c r="F134" s="1127"/>
      <c r="G134" s="1127"/>
      <c r="H134" s="1127"/>
      <c r="I134" s="1127"/>
      <c r="J134" s="1127"/>
    </row>
    <row r="135" spans="2:10" x14ac:dyDescent="0.2">
      <c r="B135" s="1127"/>
      <c r="C135" s="1127"/>
      <c r="D135" s="1127"/>
      <c r="E135" s="1127"/>
      <c r="F135" s="1127"/>
      <c r="G135" s="1127"/>
      <c r="H135" s="1127"/>
      <c r="I135" s="1127"/>
      <c r="J135" s="1127"/>
    </row>
    <row r="136" spans="2:10" x14ac:dyDescent="0.2">
      <c r="B136" s="1127"/>
      <c r="C136" s="1127"/>
      <c r="D136" s="1127"/>
      <c r="E136" s="1127"/>
      <c r="F136" s="1127"/>
      <c r="G136" s="1127"/>
      <c r="H136" s="1127"/>
      <c r="I136" s="1127"/>
      <c r="J136" s="1127"/>
    </row>
    <row r="137" spans="2:10" x14ac:dyDescent="0.2">
      <c r="B137" s="1127"/>
      <c r="C137" s="1127"/>
      <c r="D137" s="1127"/>
      <c r="E137" s="1127"/>
      <c r="F137" s="1127"/>
      <c r="G137" s="1127"/>
      <c r="H137" s="1127"/>
      <c r="I137" s="1127"/>
      <c r="J137" s="1127"/>
    </row>
    <row r="138" spans="2:10" x14ac:dyDescent="0.2">
      <c r="B138" s="1127"/>
      <c r="C138" s="1127"/>
      <c r="D138" s="1127"/>
      <c r="E138" s="1127"/>
      <c r="F138" s="1127"/>
      <c r="G138" s="1127"/>
      <c r="H138" s="1127"/>
      <c r="I138" s="1127"/>
      <c r="J138" s="1127"/>
    </row>
    <row r="139" spans="2:10" ht="15" x14ac:dyDescent="0.25">
      <c r="B139" s="111" t="s">
        <v>252</v>
      </c>
      <c r="C139" s="109"/>
      <c r="D139" s="109"/>
      <c r="E139" s="109"/>
      <c r="F139" s="109"/>
      <c r="G139" s="109"/>
      <c r="H139" s="109"/>
      <c r="I139" s="109"/>
      <c r="J139" s="109"/>
    </row>
    <row r="140" spans="2:10" x14ac:dyDescent="0.2">
      <c r="B140" s="1127" t="s">
        <v>550</v>
      </c>
      <c r="C140" s="1127"/>
      <c r="D140" s="1127"/>
      <c r="E140" s="1127"/>
      <c r="F140" s="1127"/>
      <c r="G140" s="1127"/>
      <c r="H140" s="1127"/>
      <c r="I140" s="1127"/>
      <c r="J140" s="1127"/>
    </row>
    <row r="141" spans="2:10" x14ac:dyDescent="0.2">
      <c r="B141" s="1127"/>
      <c r="C141" s="1127"/>
      <c r="D141" s="1127"/>
      <c r="E141" s="1127"/>
      <c r="F141" s="1127"/>
      <c r="G141" s="1127"/>
      <c r="H141" s="1127"/>
      <c r="I141" s="1127"/>
      <c r="J141" s="1127"/>
    </row>
    <row r="142" spans="2:10" x14ac:dyDescent="0.2">
      <c r="B142" s="1127"/>
      <c r="C142" s="1127"/>
      <c r="D142" s="1127"/>
      <c r="E142" s="1127"/>
      <c r="F142" s="1127"/>
      <c r="G142" s="1127"/>
      <c r="H142" s="1127"/>
      <c r="I142" s="1127"/>
      <c r="J142" s="1127"/>
    </row>
    <row r="143" spans="2:10" x14ac:dyDescent="0.2">
      <c r="B143" s="1127"/>
      <c r="C143" s="1127"/>
      <c r="D143" s="1127"/>
      <c r="E143" s="1127"/>
      <c r="F143" s="1127"/>
      <c r="G143" s="1127"/>
      <c r="H143" s="1127"/>
      <c r="I143" s="1127"/>
      <c r="J143" s="1127"/>
    </row>
    <row r="144" spans="2:10" x14ac:dyDescent="0.2">
      <c r="B144" s="1127"/>
      <c r="C144" s="1127"/>
      <c r="D144" s="1127"/>
      <c r="E144" s="1127"/>
      <c r="F144" s="1127"/>
      <c r="G144" s="1127"/>
      <c r="H144" s="1127"/>
      <c r="I144" s="1127"/>
      <c r="J144" s="1127"/>
    </row>
    <row r="145" spans="2:10" x14ac:dyDescent="0.2">
      <c r="B145" s="1127"/>
      <c r="C145" s="1127"/>
      <c r="D145" s="1127"/>
      <c r="E145" s="1127"/>
      <c r="F145" s="1127"/>
      <c r="G145" s="1127"/>
      <c r="H145" s="1127"/>
      <c r="I145" s="1127"/>
      <c r="J145" s="1127"/>
    </row>
    <row r="146" spans="2:10" x14ac:dyDescent="0.2">
      <c r="B146" s="1127"/>
      <c r="C146" s="1127"/>
      <c r="D146" s="1127"/>
      <c r="E146" s="1127"/>
      <c r="F146" s="1127"/>
      <c r="G146" s="1127"/>
      <c r="H146" s="1127"/>
      <c r="I146" s="1127"/>
      <c r="J146" s="1127"/>
    </row>
    <row r="147" spans="2:10" x14ac:dyDescent="0.2">
      <c r="B147" s="1127"/>
      <c r="C147" s="1127"/>
      <c r="D147" s="1127"/>
      <c r="E147" s="1127"/>
      <c r="F147" s="1127"/>
      <c r="G147" s="1127"/>
      <c r="H147" s="1127"/>
      <c r="I147" s="1127"/>
      <c r="J147" s="1127"/>
    </row>
    <row r="148" spans="2:10" ht="15" x14ac:dyDescent="0.25">
      <c r="B148" s="111" t="s">
        <v>253</v>
      </c>
      <c r="C148" s="109"/>
      <c r="D148" s="109"/>
      <c r="E148" s="109"/>
      <c r="F148" s="109"/>
      <c r="G148" s="109"/>
      <c r="H148" s="109"/>
      <c r="I148" s="109"/>
      <c r="J148" s="109"/>
    </row>
    <row r="149" spans="2:10" x14ac:dyDescent="0.2">
      <c r="B149" s="1127" t="s">
        <v>254</v>
      </c>
      <c r="C149" s="1127"/>
      <c r="D149" s="1127"/>
      <c r="E149" s="1127"/>
      <c r="F149" s="1127"/>
      <c r="G149" s="1127"/>
      <c r="H149" s="1127"/>
      <c r="I149" s="1127"/>
      <c r="J149" s="1127"/>
    </row>
    <row r="150" spans="2:10" x14ac:dyDescent="0.2">
      <c r="B150" s="1127"/>
      <c r="C150" s="1127"/>
      <c r="D150" s="1127"/>
      <c r="E150" s="1127"/>
      <c r="F150" s="1127"/>
      <c r="G150" s="1127"/>
      <c r="H150" s="1127"/>
      <c r="I150" s="1127"/>
      <c r="J150" s="1127"/>
    </row>
    <row r="151" spans="2:10" x14ac:dyDescent="0.2">
      <c r="B151" s="1127"/>
      <c r="C151" s="1127"/>
      <c r="D151" s="1127"/>
      <c r="E151" s="1127"/>
      <c r="F151" s="1127"/>
      <c r="G151" s="1127"/>
      <c r="H151" s="1127"/>
      <c r="I151" s="1127"/>
      <c r="J151" s="1127"/>
    </row>
    <row r="152" spans="2:10" x14ac:dyDescent="0.2">
      <c r="B152" s="1127"/>
      <c r="C152" s="1127"/>
      <c r="D152" s="1127"/>
      <c r="E152" s="1127"/>
      <c r="F152" s="1127"/>
      <c r="G152" s="1127"/>
      <c r="H152" s="1127"/>
      <c r="I152" s="1127"/>
      <c r="J152" s="1127"/>
    </row>
    <row r="153" spans="2:10" x14ac:dyDescent="0.2">
      <c r="B153" s="1127"/>
      <c r="C153" s="1127"/>
      <c r="D153" s="1127"/>
      <c r="E153" s="1127"/>
      <c r="F153" s="1127"/>
      <c r="G153" s="1127"/>
      <c r="H153" s="1127"/>
      <c r="I153" s="1127"/>
      <c r="J153" s="1127"/>
    </row>
    <row r="154" spans="2:10" ht="15" x14ac:dyDescent="0.25">
      <c r="B154" s="112" t="s">
        <v>255</v>
      </c>
      <c r="C154" s="108"/>
      <c r="D154" s="109"/>
      <c r="E154" s="109"/>
      <c r="F154" s="109"/>
      <c r="G154" s="109"/>
      <c r="H154" s="109"/>
      <c r="I154" s="109"/>
      <c r="J154" s="109"/>
    </row>
    <row r="155" spans="2:10" x14ac:dyDescent="0.2">
      <c r="B155" s="1128" t="s">
        <v>270</v>
      </c>
      <c r="C155" s="1128"/>
      <c r="D155" s="1128"/>
      <c r="E155" s="1128"/>
      <c r="F155" s="1128"/>
      <c r="G155" s="1128"/>
      <c r="H155" s="1128"/>
      <c r="I155" s="1128"/>
      <c r="J155" s="1128"/>
    </row>
    <row r="156" spans="2:10" x14ac:dyDescent="0.2">
      <c r="B156" s="1128"/>
      <c r="C156" s="1128"/>
      <c r="D156" s="1128"/>
      <c r="E156" s="1128"/>
      <c r="F156" s="1128"/>
      <c r="G156" s="1128"/>
      <c r="H156" s="1128"/>
      <c r="I156" s="1128"/>
      <c r="J156" s="1128"/>
    </row>
    <row r="157" spans="2:10" x14ac:dyDescent="0.2">
      <c r="B157" s="1128"/>
      <c r="C157" s="1128"/>
      <c r="D157" s="1128"/>
      <c r="E157" s="1128"/>
      <c r="F157" s="1128"/>
      <c r="G157" s="1128"/>
      <c r="H157" s="1128"/>
      <c r="I157" s="1128"/>
      <c r="J157" s="1128"/>
    </row>
    <row r="158" spans="2:10" ht="15" x14ac:dyDescent="0.25">
      <c r="B158" s="112" t="s">
        <v>256</v>
      </c>
      <c r="C158" s="109"/>
      <c r="D158" s="109"/>
      <c r="E158" s="109"/>
      <c r="F158" s="109"/>
      <c r="G158" s="109"/>
      <c r="H158" s="109"/>
      <c r="I158" s="109"/>
      <c r="J158" s="109"/>
    </row>
    <row r="159" spans="2:10" x14ac:dyDescent="0.2">
      <c r="B159" s="1128" t="s">
        <v>271</v>
      </c>
      <c r="C159" s="1128"/>
      <c r="D159" s="1128"/>
      <c r="E159" s="1128"/>
      <c r="F159" s="1128"/>
      <c r="G159" s="1128"/>
      <c r="H159" s="1128"/>
      <c r="I159" s="1128"/>
      <c r="J159" s="1128"/>
    </row>
    <row r="160" spans="2:10" x14ac:dyDescent="0.2">
      <c r="B160" s="1128"/>
      <c r="C160" s="1128"/>
      <c r="D160" s="1128"/>
      <c r="E160" s="1128"/>
      <c r="F160" s="1128"/>
      <c r="G160" s="1128"/>
      <c r="H160" s="1128"/>
      <c r="I160" s="1128"/>
      <c r="J160" s="1128"/>
    </row>
    <row r="161" spans="2:10" x14ac:dyDescent="0.2">
      <c r="B161" s="1128"/>
      <c r="C161" s="1128"/>
      <c r="D161" s="1128"/>
      <c r="E161" s="1128"/>
      <c r="F161" s="1128"/>
      <c r="G161" s="1128"/>
      <c r="H161" s="1128"/>
      <c r="I161" s="1128"/>
      <c r="J161" s="1128"/>
    </row>
    <row r="162" spans="2:10" x14ac:dyDescent="0.2">
      <c r="B162" s="1128"/>
      <c r="C162" s="1128"/>
      <c r="D162" s="1128"/>
      <c r="E162" s="1128"/>
      <c r="F162" s="1128"/>
      <c r="G162" s="1128"/>
      <c r="H162" s="1128"/>
      <c r="I162" s="1128"/>
      <c r="J162" s="1128"/>
    </row>
    <row r="163" spans="2:10" ht="14.25" customHeight="1" x14ac:dyDescent="0.2">
      <c r="B163" s="1127" t="s">
        <v>272</v>
      </c>
      <c r="C163" s="1127"/>
      <c r="D163" s="1127"/>
      <c r="E163" s="1127"/>
      <c r="F163" s="1127"/>
      <c r="G163" s="1127"/>
      <c r="H163" s="1127"/>
      <c r="I163" s="1127"/>
      <c r="J163" s="1127"/>
    </row>
    <row r="164" spans="2:10" ht="14.25" customHeight="1" x14ac:dyDescent="0.2">
      <c r="B164" s="1127"/>
      <c r="C164" s="1127"/>
      <c r="D164" s="1127"/>
      <c r="E164" s="1127"/>
      <c r="F164" s="1127"/>
      <c r="G164" s="1127"/>
      <c r="H164" s="1127"/>
      <c r="I164" s="1127"/>
      <c r="J164" s="1127"/>
    </row>
    <row r="165" spans="2:10" ht="14.25" customHeight="1" x14ac:dyDescent="0.2">
      <c r="B165" s="1127"/>
      <c r="C165" s="1127"/>
      <c r="D165" s="1127"/>
      <c r="E165" s="1127"/>
      <c r="F165" s="1127"/>
      <c r="G165" s="1127"/>
      <c r="H165" s="1127"/>
      <c r="I165" s="1127"/>
      <c r="J165" s="1127"/>
    </row>
    <row r="166" spans="2:10" ht="14.25" customHeight="1" x14ac:dyDescent="0.2">
      <c r="B166" s="1127"/>
      <c r="C166" s="1127"/>
      <c r="D166" s="1127"/>
      <c r="E166" s="1127"/>
      <c r="F166" s="1127"/>
      <c r="G166" s="1127"/>
      <c r="H166" s="1127"/>
      <c r="I166" s="1127"/>
      <c r="J166" s="1127"/>
    </row>
    <row r="167" spans="2:10" ht="14.25" customHeight="1" x14ac:dyDescent="0.2">
      <c r="B167" s="1127"/>
      <c r="C167" s="1127"/>
      <c r="D167" s="1127"/>
      <c r="E167" s="1127"/>
      <c r="F167" s="1127"/>
      <c r="G167" s="1127"/>
      <c r="H167" s="1127"/>
      <c r="I167" s="1127"/>
      <c r="J167" s="1127"/>
    </row>
    <row r="168" spans="2:10" ht="14.25" customHeight="1" x14ac:dyDescent="0.2">
      <c r="B168" s="1127"/>
      <c r="C168" s="1127"/>
      <c r="D168" s="1127"/>
      <c r="E168" s="1127"/>
      <c r="F168" s="1127"/>
      <c r="G168" s="1127"/>
      <c r="H168" s="1127"/>
      <c r="I168" s="1127"/>
      <c r="J168" s="1127"/>
    </row>
    <row r="169" spans="2:10" ht="14.25" customHeight="1" x14ac:dyDescent="0.2">
      <c r="B169" s="1127"/>
      <c r="C169" s="1127"/>
      <c r="D169" s="1127"/>
      <c r="E169" s="1127"/>
      <c r="F169" s="1127"/>
      <c r="G169" s="1127"/>
      <c r="H169" s="1127"/>
      <c r="I169" s="1127"/>
      <c r="J169" s="1127"/>
    </row>
    <row r="170" spans="2:10" x14ac:dyDescent="0.2">
      <c r="B170" s="1130" t="s">
        <v>257</v>
      </c>
      <c r="C170" s="1130"/>
      <c r="D170" s="1130"/>
      <c r="E170" s="1130"/>
      <c r="F170" s="1130"/>
      <c r="G170" s="1130"/>
      <c r="H170" s="1130"/>
      <c r="I170" s="1130"/>
      <c r="J170" s="1130"/>
    </row>
    <row r="171" spans="2:10" x14ac:dyDescent="0.2">
      <c r="B171" s="1130"/>
      <c r="C171" s="1130"/>
      <c r="D171" s="1130"/>
      <c r="E171" s="1130"/>
      <c r="F171" s="1130"/>
      <c r="G171" s="1130"/>
      <c r="H171" s="1130"/>
      <c r="I171" s="1130"/>
      <c r="J171" s="1130"/>
    </row>
    <row r="172" spans="2:10" x14ac:dyDescent="0.2">
      <c r="B172" s="1127" t="s">
        <v>273</v>
      </c>
      <c r="C172" s="1127"/>
      <c r="D172" s="1127"/>
      <c r="E172" s="1127"/>
      <c r="F172" s="1127"/>
      <c r="G172" s="1127"/>
      <c r="H172" s="1127"/>
      <c r="I172" s="1127"/>
      <c r="J172" s="1127"/>
    </row>
    <row r="173" spans="2:10" x14ac:dyDescent="0.2">
      <c r="B173" s="1127"/>
      <c r="C173" s="1127"/>
      <c r="D173" s="1127"/>
      <c r="E173" s="1127"/>
      <c r="F173" s="1127"/>
      <c r="G173" s="1127"/>
      <c r="H173" s="1127"/>
      <c r="I173" s="1127"/>
      <c r="J173" s="1127"/>
    </row>
    <row r="174" spans="2:10" x14ac:dyDescent="0.2">
      <c r="B174" s="1127"/>
      <c r="C174" s="1127"/>
      <c r="D174" s="1127"/>
      <c r="E174" s="1127"/>
      <c r="F174" s="1127"/>
      <c r="G174" s="1127"/>
      <c r="H174" s="1127"/>
      <c r="I174" s="1127"/>
      <c r="J174" s="1127"/>
    </row>
    <row r="175" spans="2:10" x14ac:dyDescent="0.2">
      <c r="B175" s="1127"/>
      <c r="C175" s="1127"/>
      <c r="D175" s="1127"/>
      <c r="E175" s="1127"/>
      <c r="F175" s="1127"/>
      <c r="G175" s="1127"/>
      <c r="H175" s="1127"/>
      <c r="I175" s="1127"/>
      <c r="J175" s="1127"/>
    </row>
    <row r="176" spans="2:10" x14ac:dyDescent="0.2">
      <c r="B176" s="1127"/>
      <c r="C176" s="1127"/>
      <c r="D176" s="1127"/>
      <c r="E176" s="1127"/>
      <c r="F176" s="1127"/>
      <c r="G176" s="1127"/>
      <c r="H176" s="1127"/>
      <c r="I176" s="1127"/>
      <c r="J176" s="1127"/>
    </row>
    <row r="177" spans="2:10" x14ac:dyDescent="0.2">
      <c r="B177" s="1127"/>
      <c r="C177" s="1127"/>
      <c r="D177" s="1127"/>
      <c r="E177" s="1127"/>
      <c r="F177" s="1127"/>
      <c r="G177" s="1127"/>
      <c r="H177" s="1127"/>
      <c r="I177" s="1127"/>
      <c r="J177" s="1127"/>
    </row>
    <row r="178" spans="2:10" x14ac:dyDescent="0.2">
      <c r="B178" s="1127"/>
      <c r="C178" s="1127"/>
      <c r="D178" s="1127"/>
      <c r="E178" s="1127"/>
      <c r="F178" s="1127"/>
      <c r="G178" s="1127"/>
      <c r="H178" s="1127"/>
      <c r="I178" s="1127"/>
      <c r="J178" s="1127"/>
    </row>
    <row r="179" spans="2:10" x14ac:dyDescent="0.2">
      <c r="B179" s="1127"/>
      <c r="C179" s="1127"/>
      <c r="D179" s="1127"/>
      <c r="E179" s="1127"/>
      <c r="F179" s="1127"/>
      <c r="G179" s="1127"/>
      <c r="H179" s="1127"/>
      <c r="I179" s="1127"/>
      <c r="J179" s="1127"/>
    </row>
    <row r="180" spans="2:10" x14ac:dyDescent="0.2">
      <c r="B180" s="1127"/>
      <c r="C180" s="1127"/>
      <c r="D180" s="1127"/>
      <c r="E180" s="1127"/>
      <c r="F180" s="1127"/>
      <c r="G180" s="1127"/>
      <c r="H180" s="1127"/>
      <c r="I180" s="1127"/>
      <c r="J180" s="1127"/>
    </row>
    <row r="181" spans="2:10" x14ac:dyDescent="0.2">
      <c r="B181" s="1127"/>
      <c r="C181" s="1127"/>
      <c r="D181" s="1127"/>
      <c r="E181" s="1127"/>
      <c r="F181" s="1127"/>
      <c r="G181" s="1127"/>
      <c r="H181" s="1127"/>
      <c r="I181" s="1127"/>
      <c r="J181" s="1127"/>
    </row>
    <row r="182" spans="2:10" x14ac:dyDescent="0.2">
      <c r="B182" s="1126" t="s">
        <v>274</v>
      </c>
      <c r="C182" s="1126"/>
      <c r="D182" s="1126"/>
      <c r="E182" s="1126"/>
      <c r="F182" s="1126"/>
      <c r="G182" s="1126"/>
      <c r="H182" s="1126"/>
      <c r="I182" s="1126"/>
      <c r="J182" s="1126"/>
    </row>
    <row r="183" spans="2:10" x14ac:dyDescent="0.2">
      <c r="B183" s="1126"/>
      <c r="C183" s="1126"/>
      <c r="D183" s="1126"/>
      <c r="E183" s="1126"/>
      <c r="F183" s="1126"/>
      <c r="G183" s="1126"/>
      <c r="H183" s="1126"/>
      <c r="I183" s="1126"/>
      <c r="J183" s="1126"/>
    </row>
    <row r="184" spans="2:10" x14ac:dyDescent="0.2">
      <c r="B184" s="1126"/>
      <c r="C184" s="1126"/>
      <c r="D184" s="1126"/>
      <c r="E184" s="1126"/>
      <c r="F184" s="1126"/>
      <c r="G184" s="1126"/>
      <c r="H184" s="1126"/>
      <c r="I184" s="1126"/>
      <c r="J184" s="1126"/>
    </row>
    <row r="185" spans="2:10" x14ac:dyDescent="0.2">
      <c r="B185" s="1126"/>
      <c r="C185" s="1126"/>
      <c r="D185" s="1126"/>
      <c r="E185" s="1126"/>
      <c r="F185" s="1126"/>
      <c r="G185" s="1126"/>
      <c r="H185" s="1126"/>
      <c r="I185" s="1126"/>
      <c r="J185" s="1126"/>
    </row>
    <row r="186" spans="2:10" x14ac:dyDescent="0.2">
      <c r="B186" s="1126"/>
      <c r="C186" s="1126"/>
      <c r="D186" s="1126"/>
      <c r="E186" s="1126"/>
      <c r="F186" s="1126"/>
      <c r="G186" s="1126"/>
      <c r="H186" s="1126"/>
      <c r="I186" s="1126"/>
      <c r="J186" s="1126"/>
    </row>
    <row r="187" spans="2:10" x14ac:dyDescent="0.2">
      <c r="B187" s="1126"/>
      <c r="C187" s="1126"/>
      <c r="D187" s="1126"/>
      <c r="E187" s="1126"/>
      <c r="F187" s="1126"/>
      <c r="G187" s="1126"/>
      <c r="H187" s="1126"/>
      <c r="I187" s="1126"/>
      <c r="J187" s="1126"/>
    </row>
    <row r="188" spans="2:10" x14ac:dyDescent="0.2">
      <c r="B188" s="1126"/>
      <c r="C188" s="1126"/>
      <c r="D188" s="1126"/>
      <c r="E188" s="1126"/>
      <c r="F188" s="1126"/>
      <c r="G188" s="1126"/>
      <c r="H188" s="1126"/>
      <c r="I188" s="1126"/>
      <c r="J188" s="1126"/>
    </row>
    <row r="189" spans="2:10" x14ac:dyDescent="0.2">
      <c r="B189" s="1126"/>
      <c r="C189" s="1126"/>
      <c r="D189" s="1126"/>
      <c r="E189" s="1126"/>
      <c r="F189" s="1126"/>
      <c r="G189" s="1126"/>
      <c r="H189" s="1126"/>
      <c r="I189" s="1126"/>
      <c r="J189" s="1126"/>
    </row>
    <row r="190" spans="2:10" x14ac:dyDescent="0.2">
      <c r="B190" s="1126"/>
      <c r="C190" s="1126"/>
      <c r="D190" s="1126"/>
      <c r="E190" s="1126"/>
      <c r="F190" s="1126"/>
      <c r="G190" s="1126"/>
      <c r="H190" s="1126"/>
      <c r="I190" s="1126"/>
      <c r="J190" s="1126"/>
    </row>
    <row r="191" spans="2:10" ht="14.25" customHeight="1" x14ac:dyDescent="0.2">
      <c r="B191" s="1125" t="s">
        <v>276</v>
      </c>
      <c r="C191" s="1125"/>
      <c r="D191" s="1125"/>
      <c r="E191" s="1125"/>
      <c r="F191" s="1125"/>
      <c r="G191" s="1125"/>
      <c r="H191" s="1125"/>
      <c r="I191" s="1125"/>
      <c r="J191" s="1125"/>
    </row>
    <row r="192" spans="2:10" ht="14.25" customHeight="1" x14ac:dyDescent="0.2">
      <c r="B192" s="1125"/>
      <c r="C192" s="1125"/>
      <c r="D192" s="1125"/>
      <c r="E192" s="1125"/>
      <c r="F192" s="1125"/>
      <c r="G192" s="1125"/>
      <c r="H192" s="1125"/>
      <c r="I192" s="1125"/>
      <c r="J192" s="1125"/>
    </row>
    <row r="193" spans="2:10" x14ac:dyDescent="0.2">
      <c r="B193" s="1125" t="s">
        <v>277</v>
      </c>
      <c r="C193" s="1125"/>
      <c r="D193" s="1125"/>
      <c r="E193" s="1125"/>
      <c r="F193" s="1125"/>
      <c r="G193" s="1125"/>
      <c r="H193" s="1125"/>
      <c r="I193" s="1125"/>
      <c r="J193" s="1125"/>
    </row>
    <row r="194" spans="2:10" x14ac:dyDescent="0.2">
      <c r="B194" s="1125"/>
      <c r="C194" s="1125"/>
      <c r="D194" s="1125"/>
      <c r="E194" s="1125"/>
      <c r="F194" s="1125"/>
      <c r="G194" s="1125"/>
      <c r="H194" s="1125"/>
      <c r="I194" s="1125"/>
      <c r="J194" s="1125"/>
    </row>
    <row r="195" spans="2:10" x14ac:dyDescent="0.2">
      <c r="B195" s="1125"/>
      <c r="C195" s="1125"/>
      <c r="D195" s="1125"/>
      <c r="E195" s="1125"/>
      <c r="F195" s="1125"/>
      <c r="G195" s="1125"/>
      <c r="H195" s="1125"/>
      <c r="I195" s="1125"/>
      <c r="J195" s="1125"/>
    </row>
    <row r="196" spans="2:10" ht="14.25" customHeight="1" x14ac:dyDescent="0.2">
      <c r="B196" s="1125" t="s">
        <v>278</v>
      </c>
      <c r="C196" s="1125"/>
      <c r="D196" s="1125"/>
      <c r="E196" s="1125"/>
      <c r="F196" s="1125"/>
      <c r="G196" s="1125"/>
      <c r="H196" s="1125"/>
      <c r="I196" s="1125"/>
      <c r="J196" s="1125"/>
    </row>
    <row r="197" spans="2:10" ht="14.25" customHeight="1" x14ac:dyDescent="0.2">
      <c r="B197" s="1125"/>
      <c r="C197" s="1125"/>
      <c r="D197" s="1125"/>
      <c r="E197" s="1125"/>
      <c r="F197" s="1125"/>
      <c r="G197" s="1125"/>
      <c r="H197" s="1125"/>
      <c r="I197" s="1125"/>
      <c r="J197" s="1125"/>
    </row>
    <row r="198" spans="2:10" x14ac:dyDescent="0.2">
      <c r="B198" s="1125" t="s">
        <v>279</v>
      </c>
      <c r="C198" s="1125"/>
      <c r="D198" s="1125"/>
      <c r="E198" s="1125"/>
      <c r="F198" s="1125"/>
      <c r="G198" s="1125"/>
      <c r="H198" s="1125"/>
      <c r="I198" s="1125"/>
      <c r="J198" s="1125"/>
    </row>
    <row r="199" spans="2:10" x14ac:dyDescent="0.2">
      <c r="B199" s="1125"/>
      <c r="C199" s="1125"/>
      <c r="D199" s="1125"/>
      <c r="E199" s="1125"/>
      <c r="F199" s="1125"/>
      <c r="G199" s="1125"/>
      <c r="H199" s="1125"/>
      <c r="I199" s="1125"/>
      <c r="J199" s="1125"/>
    </row>
    <row r="200" spans="2:10" x14ac:dyDescent="0.2">
      <c r="B200" s="1125"/>
      <c r="C200" s="1125"/>
      <c r="D200" s="1125"/>
      <c r="E200" s="1125"/>
      <c r="F200" s="1125"/>
      <c r="G200" s="1125"/>
      <c r="H200" s="1125"/>
      <c r="I200" s="1125"/>
      <c r="J200" s="1125"/>
    </row>
    <row r="201" spans="2:10" x14ac:dyDescent="0.2">
      <c r="B201" s="1125" t="s">
        <v>280</v>
      </c>
      <c r="C201" s="1125"/>
      <c r="D201" s="1125"/>
      <c r="E201" s="1125"/>
      <c r="F201" s="1125"/>
      <c r="G201" s="1125"/>
      <c r="H201" s="1125"/>
      <c r="I201" s="1125"/>
      <c r="J201" s="1125"/>
    </row>
    <row r="202" spans="2:10" x14ac:dyDescent="0.2">
      <c r="B202" s="1125"/>
      <c r="C202" s="1125"/>
      <c r="D202" s="1125"/>
      <c r="E202" s="1125"/>
      <c r="F202" s="1125"/>
      <c r="G202" s="1125"/>
      <c r="H202" s="1125"/>
      <c r="I202" s="1125"/>
      <c r="J202" s="1125"/>
    </row>
    <row r="203" spans="2:10" x14ac:dyDescent="0.2">
      <c r="B203" s="1125"/>
      <c r="C203" s="1125"/>
      <c r="D203" s="1125"/>
      <c r="E203" s="1125"/>
      <c r="F203" s="1125"/>
      <c r="G203" s="1125"/>
      <c r="H203" s="1125"/>
      <c r="I203" s="1125"/>
      <c r="J203" s="1125"/>
    </row>
    <row r="204" spans="2:10" x14ac:dyDescent="0.2">
      <c r="B204" s="1125" t="s">
        <v>281</v>
      </c>
      <c r="C204" s="1125"/>
      <c r="D204" s="1125"/>
      <c r="E204" s="1125"/>
      <c r="F204" s="1125"/>
      <c r="G204" s="1125"/>
      <c r="H204" s="1125"/>
      <c r="I204" s="1125"/>
      <c r="J204" s="1125"/>
    </row>
    <row r="205" spans="2:10" x14ac:dyDescent="0.2">
      <c r="B205" s="1125"/>
      <c r="C205" s="1125"/>
      <c r="D205" s="1125"/>
      <c r="E205" s="1125"/>
      <c r="F205" s="1125"/>
      <c r="G205" s="1125"/>
      <c r="H205" s="1125"/>
      <c r="I205" s="1125"/>
      <c r="J205" s="1125"/>
    </row>
    <row r="206" spans="2:10" ht="15" x14ac:dyDescent="0.25">
      <c r="B206" s="108" t="s">
        <v>258</v>
      </c>
      <c r="C206" s="109"/>
      <c r="D206" s="109"/>
      <c r="E206" s="109"/>
      <c r="F206" s="109"/>
      <c r="G206" s="109"/>
      <c r="H206" s="109"/>
      <c r="I206" s="109"/>
      <c r="J206" s="109"/>
    </row>
    <row r="207" spans="2:10" x14ac:dyDescent="0.2">
      <c r="B207" s="1125" t="s">
        <v>259</v>
      </c>
      <c r="C207" s="1125"/>
      <c r="D207" s="1125"/>
      <c r="E207" s="1125"/>
      <c r="F207" s="1125"/>
      <c r="G207" s="1125"/>
      <c r="H207" s="1125"/>
      <c r="I207" s="1125"/>
      <c r="J207" s="1125"/>
    </row>
    <row r="208" spans="2:10" x14ac:dyDescent="0.2">
      <c r="B208" s="1125"/>
      <c r="C208" s="1125"/>
      <c r="D208" s="1125"/>
      <c r="E208" s="1125"/>
      <c r="F208" s="1125"/>
      <c r="G208" s="1125"/>
      <c r="H208" s="1125"/>
      <c r="I208" s="1125"/>
      <c r="J208" s="1125"/>
    </row>
    <row r="209" spans="2:10" x14ac:dyDescent="0.2">
      <c r="B209" s="1125"/>
      <c r="C209" s="1125"/>
      <c r="D209" s="1125"/>
      <c r="E209" s="1125"/>
      <c r="F209" s="1125"/>
      <c r="G209" s="1125"/>
      <c r="H209" s="1125"/>
      <c r="I209" s="1125"/>
      <c r="J209" s="1125"/>
    </row>
    <row r="210" spans="2:10" ht="15" x14ac:dyDescent="0.25">
      <c r="B210" s="108" t="s">
        <v>260</v>
      </c>
      <c r="C210" s="109"/>
      <c r="D210" s="109"/>
      <c r="E210" s="109"/>
      <c r="F210" s="109"/>
      <c r="G210" s="109"/>
      <c r="H210" s="109"/>
      <c r="I210" s="109"/>
      <c r="J210" s="109"/>
    </row>
    <row r="211" spans="2:10" x14ac:dyDescent="0.2">
      <c r="B211" s="1125" t="s">
        <v>376</v>
      </c>
      <c r="C211" s="1125"/>
      <c r="D211" s="1125"/>
      <c r="E211" s="1125"/>
      <c r="F211" s="1125"/>
      <c r="G211" s="1125"/>
      <c r="H211" s="1125"/>
      <c r="I211" s="1125"/>
      <c r="J211" s="1125"/>
    </row>
    <row r="212" spans="2:10" x14ac:dyDescent="0.2">
      <c r="B212" s="1125"/>
      <c r="C212" s="1125"/>
      <c r="D212" s="1125"/>
      <c r="E212" s="1125"/>
      <c r="F212" s="1125"/>
      <c r="G212" s="1125"/>
      <c r="H212" s="1125"/>
      <c r="I212" s="1125"/>
      <c r="J212" s="1125"/>
    </row>
    <row r="213" spans="2:10" x14ac:dyDescent="0.2">
      <c r="B213" s="1125"/>
      <c r="C213" s="1125"/>
      <c r="D213" s="1125"/>
      <c r="E213" s="1125"/>
      <c r="F213" s="1125"/>
      <c r="G213" s="1125"/>
      <c r="H213" s="1125"/>
      <c r="I213" s="1125"/>
      <c r="J213" s="1125"/>
    </row>
    <row r="214" spans="2:10" ht="15" x14ac:dyDescent="0.25">
      <c r="B214" s="108" t="s">
        <v>261</v>
      </c>
      <c r="C214" s="109"/>
      <c r="D214" s="109"/>
      <c r="E214" s="109"/>
      <c r="F214" s="109"/>
      <c r="G214" s="109"/>
      <c r="H214" s="109"/>
      <c r="I214" s="109"/>
      <c r="J214" s="109"/>
    </row>
    <row r="215" spans="2:10" x14ac:dyDescent="0.2">
      <c r="B215" s="1125" t="s">
        <v>375</v>
      </c>
      <c r="C215" s="1125"/>
      <c r="D215" s="1125"/>
      <c r="E215" s="1125"/>
      <c r="F215" s="1125"/>
      <c r="G215" s="1125"/>
      <c r="H215" s="1125"/>
      <c r="I215" s="1125"/>
      <c r="J215" s="1125"/>
    </row>
    <row r="216" spans="2:10" x14ac:dyDescent="0.2">
      <c r="B216" s="1125"/>
      <c r="C216" s="1125"/>
      <c r="D216" s="1125"/>
      <c r="E216" s="1125"/>
      <c r="F216" s="1125"/>
      <c r="G216" s="1125"/>
      <c r="H216" s="1125"/>
      <c r="I216" s="1125"/>
      <c r="J216" s="1125"/>
    </row>
    <row r="217" spans="2:10" x14ac:dyDescent="0.2">
      <c r="B217" s="1125"/>
      <c r="C217" s="1125"/>
      <c r="D217" s="1125"/>
      <c r="E217" s="1125"/>
      <c r="F217" s="1125"/>
      <c r="G217" s="1125"/>
      <c r="H217" s="1125"/>
      <c r="I217" s="1125"/>
      <c r="J217" s="1125"/>
    </row>
    <row r="218" spans="2:10" ht="15" x14ac:dyDescent="0.25">
      <c r="B218" s="108" t="s">
        <v>372</v>
      </c>
      <c r="C218" s="109"/>
      <c r="D218" s="109"/>
      <c r="E218" s="109"/>
      <c r="F218" s="109"/>
      <c r="G218" s="109"/>
      <c r="H218" s="109"/>
      <c r="I218" s="109"/>
      <c r="J218" s="109"/>
    </row>
    <row r="219" spans="2:10" x14ac:dyDescent="0.2">
      <c r="B219" s="1125" t="s">
        <v>377</v>
      </c>
      <c r="C219" s="1125"/>
      <c r="D219" s="1125"/>
      <c r="E219" s="1125"/>
      <c r="F219" s="1125"/>
      <c r="G219" s="1125"/>
      <c r="H219" s="1125"/>
      <c r="I219" s="1125"/>
      <c r="J219" s="1125"/>
    </row>
    <row r="220" spans="2:10" x14ac:dyDescent="0.2">
      <c r="B220" s="1125"/>
      <c r="C220" s="1125"/>
      <c r="D220" s="1125"/>
      <c r="E220" s="1125"/>
      <c r="F220" s="1125"/>
      <c r="G220" s="1125"/>
      <c r="H220" s="1125"/>
      <c r="I220" s="1125"/>
      <c r="J220" s="1125"/>
    </row>
    <row r="221" spans="2:10" x14ac:dyDescent="0.2">
      <c r="B221" s="1125"/>
      <c r="C221" s="1125"/>
      <c r="D221" s="1125"/>
      <c r="E221" s="1125"/>
      <c r="F221" s="1125"/>
      <c r="G221" s="1125"/>
      <c r="H221" s="1125"/>
      <c r="I221" s="1125"/>
      <c r="J221" s="1125"/>
    </row>
    <row r="222" spans="2:10" x14ac:dyDescent="0.2">
      <c r="B222" s="1125"/>
      <c r="C222" s="1125"/>
      <c r="D222" s="1125"/>
      <c r="E222" s="1125"/>
      <c r="F222" s="1125"/>
      <c r="G222" s="1125"/>
      <c r="H222" s="1125"/>
      <c r="I222" s="1125"/>
      <c r="J222" s="1125"/>
    </row>
    <row r="223" spans="2:10" x14ac:dyDescent="0.2">
      <c r="B223" s="1125"/>
      <c r="C223" s="1125"/>
      <c r="D223" s="1125"/>
      <c r="E223" s="1125"/>
      <c r="F223" s="1125"/>
      <c r="G223" s="1125"/>
      <c r="H223" s="1125"/>
      <c r="I223" s="1125"/>
      <c r="J223" s="1125"/>
    </row>
    <row r="224" spans="2:10" x14ac:dyDescent="0.2">
      <c r="B224" s="1125"/>
      <c r="C224" s="1125"/>
      <c r="D224" s="1125"/>
      <c r="E224" s="1125"/>
      <c r="F224" s="1125"/>
      <c r="G224" s="1125"/>
      <c r="H224" s="1125"/>
      <c r="I224" s="1125"/>
      <c r="J224" s="1125"/>
    </row>
    <row r="225" spans="2:10" x14ac:dyDescent="0.2">
      <c r="B225" s="1125"/>
      <c r="C225" s="1125"/>
      <c r="D225" s="1125"/>
      <c r="E225" s="1125"/>
      <c r="F225" s="1125"/>
      <c r="G225" s="1125"/>
      <c r="H225" s="1125"/>
      <c r="I225" s="1125"/>
      <c r="J225" s="1125"/>
    </row>
    <row r="226" spans="2:10" ht="15" x14ac:dyDescent="0.25">
      <c r="B226" s="108" t="s">
        <v>373</v>
      </c>
      <c r="C226" s="109"/>
      <c r="D226" s="109"/>
      <c r="E226" s="109"/>
      <c r="F226" s="109"/>
      <c r="G226" s="109"/>
      <c r="H226" s="109"/>
      <c r="I226" s="109"/>
      <c r="J226" s="109"/>
    </row>
    <row r="227" spans="2:10" x14ac:dyDescent="0.2">
      <c r="B227" s="1125" t="s">
        <v>551</v>
      </c>
      <c r="C227" s="1125"/>
      <c r="D227" s="1125"/>
      <c r="E227" s="1125"/>
      <c r="F227" s="1125"/>
      <c r="G227" s="1125"/>
      <c r="H227" s="1125"/>
      <c r="I227" s="1125"/>
      <c r="J227" s="1125"/>
    </row>
    <row r="228" spans="2:10" x14ac:dyDescent="0.2">
      <c r="B228" s="1125"/>
      <c r="C228" s="1125"/>
      <c r="D228" s="1125"/>
      <c r="E228" s="1125"/>
      <c r="F228" s="1125"/>
      <c r="G228" s="1125"/>
      <c r="H228" s="1125"/>
      <c r="I228" s="1125"/>
      <c r="J228" s="1125"/>
    </row>
    <row r="229" spans="2:10" x14ac:dyDescent="0.2">
      <c r="B229" s="1125"/>
      <c r="C229" s="1125"/>
      <c r="D229" s="1125"/>
      <c r="E229" s="1125"/>
      <c r="F229" s="1125"/>
      <c r="G229" s="1125"/>
      <c r="H229" s="1125"/>
      <c r="I229" s="1125"/>
      <c r="J229" s="1125"/>
    </row>
    <row r="230" spans="2:10" x14ac:dyDescent="0.2">
      <c r="B230" s="1125"/>
      <c r="C230" s="1125"/>
      <c r="D230" s="1125"/>
      <c r="E230" s="1125"/>
      <c r="F230" s="1125"/>
      <c r="G230" s="1125"/>
      <c r="H230" s="1125"/>
      <c r="I230" s="1125"/>
      <c r="J230" s="1125"/>
    </row>
    <row r="231" spans="2:10" ht="15" x14ac:dyDescent="0.25">
      <c r="B231" s="108" t="s">
        <v>371</v>
      </c>
      <c r="C231" s="109"/>
      <c r="D231" s="109"/>
      <c r="E231" s="109"/>
      <c r="F231" s="109"/>
      <c r="G231" s="109"/>
      <c r="H231" s="109"/>
      <c r="I231" s="109"/>
      <c r="J231" s="109"/>
    </row>
    <row r="232" spans="2:10" x14ac:dyDescent="0.2">
      <c r="B232" s="1125" t="s">
        <v>374</v>
      </c>
      <c r="C232" s="1125"/>
      <c r="D232" s="1125"/>
      <c r="E232" s="1125"/>
      <c r="F232" s="1125"/>
      <c r="G232" s="1125"/>
      <c r="H232" s="1125"/>
      <c r="I232" s="1125"/>
      <c r="J232" s="1125"/>
    </row>
    <row r="233" spans="2:10" x14ac:dyDescent="0.2">
      <c r="B233" s="1125"/>
      <c r="C233" s="1125"/>
      <c r="D233" s="1125"/>
      <c r="E233" s="1125"/>
      <c r="F233" s="1125"/>
      <c r="G233" s="1125"/>
      <c r="H233" s="1125"/>
      <c r="I233" s="1125"/>
      <c r="J233" s="1125"/>
    </row>
    <row r="234" spans="2:10" x14ac:dyDescent="0.2">
      <c r="B234" s="1125"/>
      <c r="C234" s="1125"/>
      <c r="D234" s="1125"/>
      <c r="E234" s="1125"/>
      <c r="F234" s="1125"/>
      <c r="G234" s="1125"/>
      <c r="H234" s="1125"/>
      <c r="I234" s="1125"/>
      <c r="J234" s="1125"/>
    </row>
    <row r="235" spans="2:10" x14ac:dyDescent="0.2">
      <c r="B235" s="1125"/>
      <c r="C235" s="1125"/>
      <c r="D235" s="1125"/>
      <c r="E235" s="1125"/>
      <c r="F235" s="1125"/>
      <c r="G235" s="1125"/>
      <c r="H235" s="1125"/>
      <c r="I235" s="1125"/>
      <c r="J235" s="1125"/>
    </row>
  </sheetData>
  <sheetProtection algorithmName="SHA-512" hashValue="kAgVbAs5f/ACP6JGGiIlKFDi1Uj+sLOa8w7pC4p7qPwVrgV17L/j1ZKescUO0cm657qKCHS9KeDClrxFP+PQXg==" saltValue="GC7zKdhniATwV3NzRmf70w==" spinCount="100000" sheet="1" selectLockedCells="1" selectUnlockedCells="1"/>
  <mergeCells count="34">
    <mergeCell ref="B68:J77"/>
    <mergeCell ref="B124:J129"/>
    <mergeCell ref="B131:J138"/>
    <mergeCell ref="B57:J67"/>
    <mergeCell ref="B1:J3"/>
    <mergeCell ref="B6:J8"/>
    <mergeCell ref="B10:J21"/>
    <mergeCell ref="B33:J44"/>
    <mergeCell ref="B47:J56"/>
    <mergeCell ref="B91:J102"/>
    <mergeCell ref="B78:J89"/>
    <mergeCell ref="B22:J32"/>
    <mergeCell ref="B182:J190"/>
    <mergeCell ref="B149:J153"/>
    <mergeCell ref="B155:J157"/>
    <mergeCell ref="B104:J115"/>
    <mergeCell ref="B118:J123"/>
    <mergeCell ref="B140:J147"/>
    <mergeCell ref="B159:J162"/>
    <mergeCell ref="B163:J169"/>
    <mergeCell ref="B170:J171"/>
    <mergeCell ref="B172:J181"/>
    <mergeCell ref="B204:J205"/>
    <mergeCell ref="B219:J225"/>
    <mergeCell ref="B232:J235"/>
    <mergeCell ref="B191:J192"/>
    <mergeCell ref="B193:J195"/>
    <mergeCell ref="B196:J197"/>
    <mergeCell ref="B198:J200"/>
    <mergeCell ref="B201:J203"/>
    <mergeCell ref="B227:J230"/>
    <mergeCell ref="B215:J217"/>
    <mergeCell ref="B211:J213"/>
    <mergeCell ref="B207:J209"/>
  </mergeCells>
  <pageMargins left="0.25" right="0.25" top="0.75" bottom="0.75" header="0.3" footer="0.3"/>
  <pageSetup fitToHeight="0" orientation="portrait" r:id="rId1"/>
  <rowBreaks count="4" manualBreakCount="4">
    <brk id="44" min="1" max="9" man="1"/>
    <brk id="89" min="1" max="9" man="1"/>
    <brk id="138" min="1" max="9" man="1"/>
    <brk id="190"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C000"/>
  </sheetPr>
  <dimension ref="B2:U166"/>
  <sheetViews>
    <sheetView showGridLines="0" zoomScaleNormal="100" workbookViewId="0">
      <selection activeCell="M111" sqref="M111"/>
    </sheetView>
  </sheetViews>
  <sheetFormatPr defaultColWidth="9.28515625" defaultRowHeight="12.75" x14ac:dyDescent="0.2"/>
  <cols>
    <col min="1" max="1" width="9.28515625" style="23"/>
    <col min="2" max="6" width="10.7109375" style="23" customWidth="1"/>
    <col min="7" max="16384" width="9.28515625" style="23"/>
  </cols>
  <sheetData>
    <row r="2" spans="2:16" ht="23.25" x14ac:dyDescent="0.2">
      <c r="B2" s="1169" t="s">
        <v>465</v>
      </c>
      <c r="C2" s="1169"/>
      <c r="D2" s="1169"/>
      <c r="E2" s="1169"/>
      <c r="F2" s="1169"/>
      <c r="G2" s="1169"/>
      <c r="H2" s="1169"/>
      <c r="I2" s="1170"/>
      <c r="J2" s="1170"/>
      <c r="K2" s="1170"/>
      <c r="L2" s="1170"/>
      <c r="M2" s="1170"/>
      <c r="N2" s="1170"/>
    </row>
    <row r="4" spans="2:16" x14ac:dyDescent="0.2">
      <c r="B4" s="24" t="s">
        <v>463</v>
      </c>
      <c r="C4" s="24"/>
      <c r="D4" s="24"/>
      <c r="E4" s="24"/>
      <c r="F4" s="24"/>
      <c r="G4" s="24"/>
      <c r="H4" s="24"/>
      <c r="I4" s="24"/>
      <c r="J4" s="24"/>
    </row>
    <row r="5" spans="2:16" x14ac:dyDescent="0.2">
      <c r="B5" s="24" t="s">
        <v>464</v>
      </c>
      <c r="C5" s="24"/>
      <c r="D5" s="24"/>
      <c r="E5" s="24"/>
      <c r="F5" s="24"/>
      <c r="G5" s="24"/>
      <c r="H5" s="24"/>
      <c r="I5" s="24"/>
      <c r="J5" s="24"/>
    </row>
    <row r="6" spans="2:16" x14ac:dyDescent="0.2">
      <c r="I6" s="24"/>
      <c r="J6" s="24"/>
    </row>
    <row r="7" spans="2:16" x14ac:dyDescent="0.2">
      <c r="B7" s="25" t="s">
        <v>459</v>
      </c>
      <c r="C7" s="24"/>
      <c r="D7" s="24"/>
      <c r="E7" s="24"/>
      <c r="F7" s="24"/>
      <c r="G7" s="24"/>
      <c r="H7" s="24"/>
      <c r="I7" s="24"/>
      <c r="J7" s="24"/>
      <c r="K7" s="24"/>
      <c r="L7" s="24"/>
      <c r="M7" s="24"/>
    </row>
    <row r="8" spans="2:16" ht="13.5" thickBot="1" x14ac:dyDescent="0.25">
      <c r="B8" s="25"/>
      <c r="C8" s="24"/>
      <c r="D8" s="24"/>
      <c r="E8" s="24"/>
      <c r="F8" s="24"/>
      <c r="G8" s="24"/>
      <c r="H8" s="24"/>
      <c r="I8" s="24"/>
      <c r="J8" s="24"/>
      <c r="K8" s="24"/>
      <c r="L8" s="24"/>
      <c r="M8" s="24"/>
    </row>
    <row r="9" spans="2:16" ht="6.75" customHeight="1" thickTop="1" x14ac:dyDescent="0.2">
      <c r="B9" s="287"/>
      <c r="C9" s="288"/>
      <c r="D9" s="288"/>
      <c r="E9" s="288"/>
      <c r="F9" s="289"/>
      <c r="G9" s="24"/>
      <c r="H9" s="287"/>
      <c r="I9" s="288"/>
      <c r="J9" s="288"/>
      <c r="K9" s="288"/>
      <c r="L9" s="288"/>
      <c r="M9" s="288"/>
      <c r="N9" s="280"/>
    </row>
    <row r="10" spans="2:16" ht="19.5" customHeight="1" x14ac:dyDescent="0.2">
      <c r="B10" s="1177" t="s">
        <v>81</v>
      </c>
      <c r="C10" s="1178"/>
      <c r="D10" s="1178"/>
      <c r="E10" s="1178"/>
      <c r="F10" s="1179"/>
      <c r="G10" s="272"/>
      <c r="H10" s="1177" t="s">
        <v>84</v>
      </c>
      <c r="I10" s="1178"/>
      <c r="J10" s="1178"/>
      <c r="K10" s="1178"/>
      <c r="L10" s="1178"/>
      <c r="M10" s="1178"/>
      <c r="N10" s="1179"/>
    </row>
    <row r="11" spans="2:16" ht="12.75" customHeight="1" x14ac:dyDescent="0.2">
      <c r="B11" s="260"/>
      <c r="C11" s="26"/>
      <c r="D11" s="26"/>
      <c r="E11" s="26"/>
      <c r="F11" s="266"/>
      <c r="G11" s="273"/>
      <c r="H11" s="1189" t="s">
        <v>85</v>
      </c>
      <c r="I11" s="1190"/>
      <c r="J11" s="1190"/>
      <c r="K11" s="1190"/>
      <c r="L11" s="1191" t="b">
        <f>IF(Data_ProjectStartDate&gt;Var_FiscalYearCrossoverDate,TRUE,FALSE)</f>
        <v>0</v>
      </c>
      <c r="M11" s="27"/>
      <c r="N11" s="267"/>
    </row>
    <row r="12" spans="2:16" ht="12.75" customHeight="1" x14ac:dyDescent="0.2">
      <c r="B12" s="80" t="s">
        <v>83</v>
      </c>
      <c r="C12" s="28"/>
      <c r="D12" s="1187">
        <v>44743</v>
      </c>
      <c r="E12" s="1188"/>
      <c r="F12" s="267"/>
      <c r="G12" s="24"/>
      <c r="H12" s="1189"/>
      <c r="I12" s="1190"/>
      <c r="J12" s="1190"/>
      <c r="K12" s="1190"/>
      <c r="L12" s="1192"/>
      <c r="M12" s="27"/>
      <c r="N12" s="81"/>
    </row>
    <row r="13" spans="2:16" ht="12.75" customHeight="1" x14ac:dyDescent="0.2">
      <c r="B13" s="80" t="s">
        <v>166</v>
      </c>
      <c r="C13" s="28"/>
      <c r="D13" s="1185">
        <v>44197</v>
      </c>
      <c r="E13" s="1186"/>
      <c r="F13" s="267"/>
      <c r="G13" s="24"/>
      <c r="H13" s="1189"/>
      <c r="I13" s="1190"/>
      <c r="J13" s="1190"/>
      <c r="K13" s="1190"/>
      <c r="L13" s="1193"/>
      <c r="M13" s="27"/>
      <c r="N13" s="81"/>
    </row>
    <row r="14" spans="2:16" ht="12.75" customHeight="1" x14ac:dyDescent="0.2">
      <c r="B14" s="80" t="s">
        <v>174</v>
      </c>
      <c r="C14" s="28"/>
      <c r="D14" s="1185">
        <v>46753</v>
      </c>
      <c r="E14" s="1186"/>
      <c r="F14" s="267"/>
      <c r="G14" s="24"/>
      <c r="H14" s="274"/>
      <c r="I14" s="30"/>
      <c r="J14" s="30"/>
      <c r="K14" s="30"/>
      <c r="L14" s="31"/>
      <c r="M14" s="31"/>
      <c r="N14" s="81"/>
    </row>
    <row r="15" spans="2:16" s="33" customFormat="1" ht="12.75" customHeight="1" x14ac:dyDescent="0.2">
      <c r="B15" s="80" t="s">
        <v>82</v>
      </c>
      <c r="C15" s="29"/>
      <c r="D15" s="1183">
        <v>45107</v>
      </c>
      <c r="E15" s="1184"/>
      <c r="F15" s="268"/>
      <c r="G15" s="25"/>
      <c r="H15" s="1180" t="s">
        <v>216</v>
      </c>
      <c r="I15" s="1181"/>
      <c r="J15" s="1181"/>
      <c r="K15" s="1182"/>
      <c r="L15" s="32">
        <f>IF(Data_ProjectStartDate-Var_FiscalYearCrossoverDate&lt;=0,0,INT((Data_ProjectStartDate-Var_FiscalYearCrossoverDate)/365)+1)</f>
        <v>0</v>
      </c>
      <c r="M15" s="27"/>
      <c r="N15" s="275"/>
    </row>
    <row r="16" spans="2:16" ht="12.75" customHeight="1" thickBot="1" x14ac:dyDescent="0.25">
      <c r="B16" s="269"/>
      <c r="C16" s="270"/>
      <c r="D16" s="270"/>
      <c r="E16" s="270"/>
      <c r="F16" s="271"/>
      <c r="G16" s="24"/>
      <c r="H16" s="276"/>
      <c r="I16" s="277"/>
      <c r="J16" s="277"/>
      <c r="K16" s="277"/>
      <c r="L16" s="82"/>
      <c r="M16" s="82"/>
      <c r="N16" s="83"/>
      <c r="P16" s="24"/>
    </row>
    <row r="17" spans="2:14" ht="14.25" thickTop="1" thickBot="1" x14ac:dyDescent="0.25"/>
    <row r="18" spans="2:14" ht="6.75" customHeight="1" thickTop="1" x14ac:dyDescent="0.2">
      <c r="B18" s="281" t="s">
        <v>167</v>
      </c>
      <c r="C18" s="279"/>
      <c r="D18" s="279"/>
      <c r="E18" s="279"/>
      <c r="F18" s="279"/>
      <c r="G18" s="279"/>
      <c r="H18" s="279"/>
      <c r="I18" s="279"/>
      <c r="J18" s="279"/>
      <c r="K18" s="279"/>
      <c r="L18" s="279"/>
      <c r="M18" s="279"/>
      <c r="N18" s="280"/>
    </row>
    <row r="19" spans="2:14" ht="19.5" customHeight="1" x14ac:dyDescent="0.2">
      <c r="B19" s="1171" t="s">
        <v>50</v>
      </c>
      <c r="C19" s="1172"/>
      <c r="D19" s="1172"/>
      <c r="E19" s="1172"/>
      <c r="F19" s="1172"/>
      <c r="G19" s="1172"/>
      <c r="H19" s="1172"/>
      <c r="I19" s="1172"/>
      <c r="J19" s="1172"/>
      <c r="K19" s="1172"/>
      <c r="L19" s="1172"/>
      <c r="M19" s="1172"/>
      <c r="N19" s="1173"/>
    </row>
    <row r="20" spans="2:14" x14ac:dyDescent="0.2">
      <c r="B20" s="34"/>
      <c r="C20" s="35"/>
      <c r="D20" s="35"/>
      <c r="E20" s="35"/>
      <c r="F20" s="35"/>
      <c r="G20" s="35"/>
      <c r="H20" s="35"/>
      <c r="I20" s="1136" t="s">
        <v>51</v>
      </c>
      <c r="J20" s="1136"/>
      <c r="K20" s="1153">
        <v>44910</v>
      </c>
      <c r="L20" s="1154"/>
      <c r="M20" s="37"/>
      <c r="N20" s="38"/>
    </row>
    <row r="21" spans="2:14" ht="42.75" customHeight="1" x14ac:dyDescent="0.2">
      <c r="B21" s="1174" t="s">
        <v>511</v>
      </c>
      <c r="C21" s="1175"/>
      <c r="D21" s="1175"/>
      <c r="E21" s="1175"/>
      <c r="F21" s="1175"/>
      <c r="G21" s="1175"/>
      <c r="H21" s="1175"/>
      <c r="I21" s="1175"/>
      <c r="J21" s="1175"/>
      <c r="K21" s="1175"/>
      <c r="L21" s="1175"/>
      <c r="M21" s="1175"/>
      <c r="N21" s="1176"/>
    </row>
    <row r="22" spans="2:14" ht="12.75" customHeight="1" x14ac:dyDescent="0.2">
      <c r="B22" s="39"/>
      <c r="C22" s="1206" t="s">
        <v>520</v>
      </c>
      <c r="D22" s="1207"/>
      <c r="E22" s="1207"/>
      <c r="F22" s="1208"/>
      <c r="G22" s="344">
        <v>0</v>
      </c>
      <c r="H22" s="1206" t="s">
        <v>519</v>
      </c>
      <c r="I22" s="1207"/>
      <c r="J22" s="1207"/>
      <c r="K22" s="1208"/>
      <c r="L22" s="343">
        <f>IF(Var_FiscalYearCrossover,G22*Result_InflationYears,0)</f>
        <v>0</v>
      </c>
      <c r="M22" s="37"/>
      <c r="N22" s="40"/>
    </row>
    <row r="23" spans="2:14" ht="12.75" customHeight="1" x14ac:dyDescent="0.2">
      <c r="B23" s="39"/>
      <c r="C23" s="1206" t="s">
        <v>524</v>
      </c>
      <c r="D23" s="1207"/>
      <c r="E23" s="1207"/>
      <c r="F23" s="1208"/>
      <c r="G23" s="344">
        <v>0.03</v>
      </c>
      <c r="H23" s="1206" t="s">
        <v>525</v>
      </c>
      <c r="I23" s="1207"/>
      <c r="J23" s="1207"/>
      <c r="K23" s="1208"/>
      <c r="L23" s="343">
        <f>IF(Var_FiscalYearCrossover,G23*Result_InflationYears,0)</f>
        <v>0</v>
      </c>
      <c r="M23" s="37"/>
      <c r="N23" s="40"/>
    </row>
    <row r="24" spans="2:14" ht="12.75" customHeight="1" x14ac:dyDescent="0.2">
      <c r="B24" s="39"/>
      <c r="C24" s="1206" t="s">
        <v>522</v>
      </c>
      <c r="D24" s="1207"/>
      <c r="E24" s="1207"/>
      <c r="F24" s="1208"/>
      <c r="G24" s="344">
        <v>0.01</v>
      </c>
      <c r="H24" s="1206" t="s">
        <v>521</v>
      </c>
      <c r="I24" s="1207"/>
      <c r="J24" s="1207"/>
      <c r="K24" s="1208"/>
      <c r="L24" s="343">
        <f>IF(Var_FiscalYearCrossover,G24*Result_InflationYears,0)</f>
        <v>0</v>
      </c>
      <c r="M24" s="37"/>
      <c r="N24" s="40"/>
    </row>
    <row r="25" spans="2:14" ht="12.75" customHeight="1" x14ac:dyDescent="0.2">
      <c r="B25" s="39"/>
      <c r="C25" s="315"/>
      <c r="D25" s="315"/>
      <c r="E25" s="315"/>
      <c r="F25" s="316"/>
      <c r="G25" s="316"/>
      <c r="H25" s="315"/>
      <c r="I25" s="315"/>
      <c r="J25" s="315"/>
      <c r="K25" s="317"/>
      <c r="L25" s="317"/>
      <c r="M25" s="37"/>
      <c r="N25" s="40"/>
    </row>
    <row r="26" spans="2:14" x14ac:dyDescent="0.2">
      <c r="B26" s="39"/>
      <c r="C26" s="41"/>
      <c r="D26" s="41"/>
      <c r="E26" s="41"/>
      <c r="F26" s="346" t="s">
        <v>527</v>
      </c>
      <c r="G26" s="60" t="str">
        <f>CONCATENATE("July ",YEAR($D$12))</f>
        <v>July 2022</v>
      </c>
      <c r="H26" s="60" t="str">
        <f>CONCATENATE("July ",YEAR($D$12)+IF(Var_FiscalYearCrossover,Result_InflationYears,0))</f>
        <v>July 2022</v>
      </c>
      <c r="I26" s="60" t="str">
        <f>CONCATENATE("July ",YEAR($D$12)+1+IF(Var_FiscalYearCrossover,Result_InflationYears,0))</f>
        <v>July 2023</v>
      </c>
      <c r="J26" s="61" t="str">
        <f>CONCATENATE("July ",YEAR($D$12)+2+IF(Var_FiscalYearCrossover,Result_InflationYears,0))</f>
        <v>July 2024</v>
      </c>
      <c r="K26" s="61" t="str">
        <f>CONCATENATE("July ",YEAR($D$12)+3+IF(Var_FiscalYearCrossover,Result_InflationYears,0))</f>
        <v>July 2025</v>
      </c>
      <c r="L26" s="61" t="str">
        <f>CONCATENATE("July ",YEAR($D$12)+4+IF(Var_FiscalYearCrossover,Result_InflationYears,0))</f>
        <v>July 2026</v>
      </c>
      <c r="M26" s="61" t="str">
        <f>CONCATENATE("July ",YEAR($D$12)+5+IF(Var_FiscalYearCrossover,Result_InflationYears,0))</f>
        <v>July 2027</v>
      </c>
      <c r="N26" s="40"/>
    </row>
    <row r="27" spans="2:14" x14ac:dyDescent="0.2">
      <c r="B27" s="39"/>
      <c r="C27" s="41"/>
      <c r="D27" s="41"/>
      <c r="E27" s="41"/>
      <c r="F27" s="41"/>
      <c r="G27" s="41"/>
      <c r="H27" s="42" t="s">
        <v>53</v>
      </c>
      <c r="I27" s="42" t="s">
        <v>54</v>
      </c>
      <c r="J27" s="42" t="s">
        <v>55</v>
      </c>
      <c r="K27" s="42" t="s">
        <v>56</v>
      </c>
      <c r="L27" s="43" t="s">
        <v>57</v>
      </c>
      <c r="M27" s="44" t="s">
        <v>225</v>
      </c>
      <c r="N27" s="40"/>
    </row>
    <row r="28" spans="2:14" x14ac:dyDescent="0.2">
      <c r="B28" s="39"/>
      <c r="C28" s="41"/>
      <c r="D28" s="41"/>
      <c r="E28" s="41"/>
      <c r="F28" s="346" t="s">
        <v>523</v>
      </c>
      <c r="G28" s="41"/>
      <c r="H28" s="345" t="str">
        <f>CONCATENATE(TEXT(L22,"0%"), "/+", TEXT(L23,"0%"),"/", TEXT(L24,"0%"))</f>
        <v>0%/+0%/0%</v>
      </c>
      <c r="I28" s="345" t="str">
        <f>CONCATENATE(TEXT($G$22,"0%"), "/+",TEXT($G$23,"0%"),"/", TEXT($G$24,"0%"))</f>
        <v>0%/+3%/1%</v>
      </c>
      <c r="J28" s="345" t="str">
        <f t="shared" ref="J28:M28" si="0">CONCATENATE(TEXT($G$22,"0%"), "/+",TEXT($G$23,"0%"),"/", TEXT($G$24,"0%"))</f>
        <v>0%/+3%/1%</v>
      </c>
      <c r="K28" s="345" t="str">
        <f t="shared" si="0"/>
        <v>0%/+3%/1%</v>
      </c>
      <c r="L28" s="345" t="str">
        <f t="shared" si="0"/>
        <v>0%/+3%/1%</v>
      </c>
      <c r="M28" s="345" t="str">
        <f t="shared" si="0"/>
        <v>0%/+3%/1%</v>
      </c>
      <c r="N28" s="40"/>
    </row>
    <row r="29" spans="2:14" x14ac:dyDescent="0.2">
      <c r="B29" s="284" t="s">
        <v>58</v>
      </c>
      <c r="C29" s="46"/>
      <c r="D29" s="46"/>
      <c r="E29" s="46"/>
      <c r="F29" s="46"/>
      <c r="G29" s="47">
        <v>2.4E-2</v>
      </c>
      <c r="H29" s="327">
        <f>G29+G29*($L$22)</f>
        <v>2.4E-2</v>
      </c>
      <c r="I29" s="328">
        <f>H29+H29*($G$22)</f>
        <v>2.4E-2</v>
      </c>
      <c r="J29" s="328">
        <f t="shared" ref="J29:M29" si="1">I29+I29*($G$22)</f>
        <v>2.4E-2</v>
      </c>
      <c r="K29" s="328">
        <f t="shared" si="1"/>
        <v>2.4E-2</v>
      </c>
      <c r="L29" s="328">
        <f t="shared" si="1"/>
        <v>2.4E-2</v>
      </c>
      <c r="M29" s="329">
        <f t="shared" si="1"/>
        <v>2.4E-2</v>
      </c>
      <c r="N29" s="48"/>
    </row>
    <row r="30" spans="2:14" x14ac:dyDescent="0.2">
      <c r="B30" s="284" t="s">
        <v>59</v>
      </c>
      <c r="C30" s="46"/>
      <c r="D30" s="46"/>
      <c r="E30" s="46"/>
      <c r="F30" s="46"/>
      <c r="G30" s="49">
        <v>0.28000000000000003</v>
      </c>
      <c r="H30" s="330">
        <f>G30+$L$23</f>
        <v>0.28000000000000003</v>
      </c>
      <c r="I30" s="331">
        <f>H30+($G$23)</f>
        <v>0.31</v>
      </c>
      <c r="J30" s="331">
        <f t="shared" ref="J30:M31" si="2">I30+($G$23)</f>
        <v>0.34</v>
      </c>
      <c r="K30" s="331">
        <f t="shared" si="2"/>
        <v>0.37</v>
      </c>
      <c r="L30" s="331">
        <f t="shared" si="2"/>
        <v>0.4</v>
      </c>
      <c r="M30" s="332">
        <f t="shared" si="2"/>
        <v>0.43</v>
      </c>
      <c r="N30" s="48"/>
    </row>
    <row r="31" spans="2:14" x14ac:dyDescent="0.2">
      <c r="B31" s="284" t="s">
        <v>60</v>
      </c>
      <c r="C31" s="46"/>
      <c r="D31" s="46"/>
      <c r="E31" s="46"/>
      <c r="F31" s="46"/>
      <c r="G31" s="49">
        <v>0.28000000000000003</v>
      </c>
      <c r="H31" s="330">
        <f>G31+$L$23</f>
        <v>0.28000000000000003</v>
      </c>
      <c r="I31" s="331">
        <f>H31+($G$23)</f>
        <v>0.31</v>
      </c>
      <c r="J31" s="331">
        <f t="shared" si="2"/>
        <v>0.34</v>
      </c>
      <c r="K31" s="331">
        <f t="shared" si="2"/>
        <v>0.37</v>
      </c>
      <c r="L31" s="331">
        <f t="shared" si="2"/>
        <v>0.4</v>
      </c>
      <c r="M31" s="332">
        <f t="shared" si="2"/>
        <v>0.43</v>
      </c>
      <c r="N31" s="48"/>
    </row>
    <row r="32" spans="2:14" x14ac:dyDescent="0.2">
      <c r="B32" s="284" t="s">
        <v>61</v>
      </c>
      <c r="C32" s="46"/>
      <c r="D32" s="46"/>
      <c r="E32" s="46"/>
      <c r="F32" s="46"/>
      <c r="G32" s="49">
        <v>0.36299999999999999</v>
      </c>
      <c r="H32" s="330">
        <f>G32+G32*(L24)</f>
        <v>0.36299999999999999</v>
      </c>
      <c r="I32" s="331">
        <f>H32+H32*($G$24)</f>
        <v>0.36699999999999999</v>
      </c>
      <c r="J32" s="331">
        <f t="shared" ref="J32:M32" si="3">I32+I32*($G$24)</f>
        <v>0.371</v>
      </c>
      <c r="K32" s="331">
        <f t="shared" si="3"/>
        <v>0.375</v>
      </c>
      <c r="L32" s="331">
        <f t="shared" si="3"/>
        <v>0.379</v>
      </c>
      <c r="M32" s="332">
        <f t="shared" si="3"/>
        <v>0.38300000000000001</v>
      </c>
      <c r="N32" s="48"/>
    </row>
    <row r="33" spans="2:14" x14ac:dyDescent="0.2">
      <c r="B33" s="284" t="s">
        <v>62</v>
      </c>
      <c r="C33" s="46"/>
      <c r="D33" s="46"/>
      <c r="E33" s="46"/>
      <c r="F33" s="46"/>
      <c r="G33" s="49">
        <v>0.42</v>
      </c>
      <c r="H33" s="330">
        <f>G33+G33*($L$24)</f>
        <v>0.42</v>
      </c>
      <c r="I33" s="331">
        <f t="shared" ref="I33:M33" si="4">H33+H33*($G$24)</f>
        <v>0.42399999999999999</v>
      </c>
      <c r="J33" s="331">
        <f t="shared" si="4"/>
        <v>0.42799999999999999</v>
      </c>
      <c r="K33" s="331">
        <f t="shared" si="4"/>
        <v>0.432</v>
      </c>
      <c r="L33" s="331">
        <f t="shared" si="4"/>
        <v>0.436</v>
      </c>
      <c r="M33" s="332">
        <f t="shared" si="4"/>
        <v>0.44</v>
      </c>
      <c r="N33" s="48"/>
    </row>
    <row r="34" spans="2:14" x14ac:dyDescent="0.2">
      <c r="B34" s="285" t="s">
        <v>63</v>
      </c>
      <c r="C34" s="50"/>
      <c r="D34" s="50"/>
      <c r="E34" s="50"/>
      <c r="F34" s="50"/>
      <c r="G34" s="51">
        <v>0.13100000000000001</v>
      </c>
      <c r="H34" s="333">
        <f>G34+G34*($L$24)</f>
        <v>0.13100000000000001</v>
      </c>
      <c r="I34" s="334">
        <f t="shared" ref="I34:M34" si="5">H34+H34*($G$24)</f>
        <v>0.13200000000000001</v>
      </c>
      <c r="J34" s="334">
        <f t="shared" si="5"/>
        <v>0.13300000000000001</v>
      </c>
      <c r="K34" s="334">
        <f t="shared" si="5"/>
        <v>0.13400000000000001</v>
      </c>
      <c r="L34" s="334">
        <f t="shared" si="5"/>
        <v>0.13500000000000001</v>
      </c>
      <c r="M34" s="335">
        <f t="shared" si="5"/>
        <v>0.13600000000000001</v>
      </c>
      <c r="N34" s="48"/>
    </row>
    <row r="35" spans="2:14" ht="13.5" thickBot="1" x14ac:dyDescent="0.25">
      <c r="B35" s="52"/>
      <c r="C35" s="53"/>
      <c r="D35" s="53"/>
      <c r="E35" s="53"/>
      <c r="F35" s="53"/>
      <c r="G35" s="53"/>
      <c r="H35" s="53"/>
      <c r="I35" s="53"/>
      <c r="J35" s="54"/>
      <c r="K35" s="54"/>
      <c r="L35" s="54"/>
      <c r="M35" s="54"/>
      <c r="N35" s="55"/>
    </row>
    <row r="36" spans="2:14" ht="14.25" thickTop="1" thickBot="1" x14ac:dyDescent="0.25"/>
    <row r="37" spans="2:14" ht="6.75" customHeight="1" thickTop="1" x14ac:dyDescent="0.2">
      <c r="B37" s="281" t="s">
        <v>167</v>
      </c>
      <c r="C37" s="279"/>
      <c r="D37" s="279"/>
      <c r="E37" s="279"/>
      <c r="F37" s="279"/>
      <c r="G37" s="279"/>
      <c r="H37" s="279"/>
      <c r="I37" s="279"/>
      <c r="J37" s="279"/>
      <c r="K37" s="279"/>
      <c r="L37" s="279"/>
      <c r="M37" s="279"/>
      <c r="N37" s="280"/>
    </row>
    <row r="38" spans="2:14" ht="20.100000000000001" customHeight="1" x14ac:dyDescent="0.2">
      <c r="B38" s="1171" t="s">
        <v>64</v>
      </c>
      <c r="C38" s="1172"/>
      <c r="D38" s="1172"/>
      <c r="E38" s="1172"/>
      <c r="F38" s="1172"/>
      <c r="G38" s="1172"/>
      <c r="H38" s="1172"/>
      <c r="I38" s="1172"/>
      <c r="J38" s="1172"/>
      <c r="K38" s="1172"/>
      <c r="L38" s="1172"/>
      <c r="M38" s="1172"/>
      <c r="N38" s="1173"/>
    </row>
    <row r="39" spans="2:14" x14ac:dyDescent="0.2">
      <c r="B39" s="34"/>
      <c r="C39" s="35"/>
      <c r="D39" s="35"/>
      <c r="E39" s="35"/>
      <c r="F39" s="35"/>
      <c r="G39" s="35"/>
      <c r="H39" s="35"/>
      <c r="I39" s="1136" t="s">
        <v>51</v>
      </c>
      <c r="J39" s="1136"/>
      <c r="K39" s="1153">
        <v>44910</v>
      </c>
      <c r="L39" s="1154"/>
      <c r="M39" s="37"/>
      <c r="N39" s="38"/>
    </row>
    <row r="40" spans="2:14" ht="30.75" customHeight="1" x14ac:dyDescent="0.2">
      <c r="B40" s="1194" t="s">
        <v>554</v>
      </c>
      <c r="C40" s="1195"/>
      <c r="D40" s="1195"/>
      <c r="E40" s="1195"/>
      <c r="F40" s="1195"/>
      <c r="G40" s="1195"/>
      <c r="H40" s="1195"/>
      <c r="I40" s="1195"/>
      <c r="J40" s="1195"/>
      <c r="K40" s="1195"/>
      <c r="L40" s="1195"/>
      <c r="M40" s="1195"/>
      <c r="N40" s="1196"/>
    </row>
    <row r="41" spans="2:14" x14ac:dyDescent="0.2">
      <c r="B41" s="39"/>
      <c r="C41" s="41"/>
      <c r="D41" s="41"/>
      <c r="E41" s="41"/>
      <c r="F41" s="41"/>
      <c r="G41" s="41"/>
      <c r="H41" s="1139" t="s">
        <v>382</v>
      </c>
      <c r="I41" s="1136"/>
      <c r="J41" s="1136"/>
      <c r="K41" s="1204">
        <v>0</v>
      </c>
      <c r="L41" s="1204"/>
      <c r="M41" s="37"/>
      <c r="N41" s="40"/>
    </row>
    <row r="42" spans="2:14" x14ac:dyDescent="0.2">
      <c r="B42" s="39"/>
      <c r="C42" s="41"/>
      <c r="D42" s="41"/>
      <c r="E42" s="41"/>
      <c r="F42" s="41"/>
      <c r="G42" s="41"/>
      <c r="H42" s="1139" t="s">
        <v>383</v>
      </c>
      <c r="I42" s="1139"/>
      <c r="J42" s="1139"/>
      <c r="K42" s="1201">
        <v>0</v>
      </c>
      <c r="L42" s="1201"/>
      <c r="M42" s="37"/>
      <c r="N42" s="40"/>
    </row>
    <row r="43" spans="2:14" x14ac:dyDescent="0.2">
      <c r="B43" s="39"/>
      <c r="C43" s="41"/>
      <c r="D43" s="41"/>
      <c r="E43" s="41"/>
      <c r="F43" s="41"/>
      <c r="G43" s="41"/>
      <c r="H43" s="41"/>
      <c r="I43" s="41"/>
      <c r="J43" s="41"/>
      <c r="K43" s="41"/>
      <c r="L43" s="41"/>
      <c r="M43" s="37"/>
      <c r="N43" s="40"/>
    </row>
    <row r="44" spans="2:14" x14ac:dyDescent="0.2">
      <c r="B44" s="39"/>
      <c r="C44" s="41"/>
      <c r="D44" s="41"/>
      <c r="E44" s="41"/>
      <c r="F44" s="346" t="s">
        <v>527</v>
      </c>
      <c r="G44" s="60" t="str">
        <f>CONCATENATE("July ",YEAR($D$12))</f>
        <v>July 2022</v>
      </c>
      <c r="H44" s="60" t="str">
        <f>CONCATENATE("July ",YEAR($D$12)+IF(Var_FiscalYearCrossover,Result_InflationYears,0))</f>
        <v>July 2022</v>
      </c>
      <c r="I44" s="60" t="str">
        <f>CONCATENATE("July ",YEAR($D$12)+1+IF(Var_FiscalYearCrossover,Result_InflationYears,0))</f>
        <v>July 2023</v>
      </c>
      <c r="J44" s="61" t="str">
        <f>CONCATENATE("July ",YEAR($D$12)+2+IF(Var_FiscalYearCrossover,Result_InflationYears,0))</f>
        <v>July 2024</v>
      </c>
      <c r="K44" s="61" t="str">
        <f>CONCATENATE("July ",YEAR($D$12)+3+IF(Var_FiscalYearCrossover,Result_InflationYears,0))</f>
        <v>July 2025</v>
      </c>
      <c r="L44" s="61" t="str">
        <f>CONCATENATE("July ",YEAR($D$12)+4+IF(Var_FiscalYearCrossover,Result_InflationYears,0))</f>
        <v>July 2026</v>
      </c>
      <c r="M44" s="61" t="str">
        <f>CONCATENATE("July ",YEAR($D$12)+5+IF(Var_FiscalYearCrossover,Result_InflationYears,0))</f>
        <v>July 2027</v>
      </c>
      <c r="N44" s="40"/>
    </row>
    <row r="45" spans="2:14" x14ac:dyDescent="0.2">
      <c r="B45" s="39"/>
      <c r="C45" s="41"/>
      <c r="D45" s="41"/>
      <c r="E45" s="41"/>
      <c r="F45" s="41"/>
      <c r="G45" s="282" t="s">
        <v>65</v>
      </c>
      <c r="H45" s="42" t="s">
        <v>53</v>
      </c>
      <c r="I45" s="42" t="s">
        <v>54</v>
      </c>
      <c r="J45" s="42" t="s">
        <v>55</v>
      </c>
      <c r="K45" s="42" t="s">
        <v>56</v>
      </c>
      <c r="L45" s="42" t="s">
        <v>57</v>
      </c>
      <c r="M45" s="42" t="s">
        <v>225</v>
      </c>
      <c r="N45" s="40"/>
    </row>
    <row r="46" spans="2:14" x14ac:dyDescent="0.2">
      <c r="B46" s="39"/>
      <c r="C46" s="41"/>
      <c r="D46" s="41"/>
      <c r="E46" s="41"/>
      <c r="F46" s="351" t="s">
        <v>494</v>
      </c>
      <c r="G46" s="314"/>
      <c r="H46" s="313">
        <f>K42</f>
        <v>0</v>
      </c>
      <c r="I46" s="313">
        <f>$K$41</f>
        <v>0</v>
      </c>
      <c r="J46" s="313">
        <f t="shared" ref="J46:M46" si="6">$K$41</f>
        <v>0</v>
      </c>
      <c r="K46" s="313">
        <f t="shared" si="6"/>
        <v>0</v>
      </c>
      <c r="L46" s="313">
        <f t="shared" si="6"/>
        <v>0</v>
      </c>
      <c r="M46" s="313">
        <f t="shared" si="6"/>
        <v>0</v>
      </c>
      <c r="N46" s="40"/>
    </row>
    <row r="47" spans="2:14" x14ac:dyDescent="0.2">
      <c r="B47" s="284" t="s">
        <v>20</v>
      </c>
      <c r="C47" s="46"/>
      <c r="D47" s="350" t="s">
        <v>533</v>
      </c>
      <c r="E47" s="349">
        <v>0.01</v>
      </c>
      <c r="F47" s="46"/>
      <c r="G47" s="336">
        <v>0.53</v>
      </c>
      <c r="H47" s="327">
        <f>MIN(ROUNDDOWN(G47+$E$47*(Result_InflationYears),2),0.54)</f>
        <v>0.53</v>
      </c>
      <c r="I47" s="328">
        <f>MIN(ROUNDDOWN(G47+$E$47*(Result_InflationYears+1),2),0.54)</f>
        <v>0.54</v>
      </c>
      <c r="J47" s="328">
        <f>MIN(ROUNDDOWN(G47+$E$47*(Result_InflationYears+2),2),0.54)</f>
        <v>0.54</v>
      </c>
      <c r="K47" s="328">
        <f>MIN(ROUNDDOWN(G47+$E$47*(Result_InflationYears+3),2),0.54)</f>
        <v>0.54</v>
      </c>
      <c r="L47" s="328">
        <f>MIN(ROUNDDOWN(G47+$E$47*(Result_InflationYears+4),2),0.54)</f>
        <v>0.54</v>
      </c>
      <c r="M47" s="329">
        <f>MIN(ROUNDDOWN(G47+$E$47*(Result_InflationYears+5),2),0.54)</f>
        <v>0.54</v>
      </c>
      <c r="N47" s="48"/>
    </row>
    <row r="48" spans="2:14" x14ac:dyDescent="0.2">
      <c r="B48" s="284" t="s">
        <v>21</v>
      </c>
      <c r="C48" s="46"/>
      <c r="D48" s="46"/>
      <c r="E48" s="46"/>
      <c r="F48" s="46"/>
      <c r="G48" s="337">
        <v>0.5</v>
      </c>
      <c r="H48" s="330">
        <f>G48+G48*($K$42)</f>
        <v>0.5</v>
      </c>
      <c r="I48" s="331">
        <f t="shared" ref="I48:M50" si="7">H48+H48*$K$41</f>
        <v>0.5</v>
      </c>
      <c r="J48" s="331">
        <f t="shared" si="7"/>
        <v>0.5</v>
      </c>
      <c r="K48" s="331">
        <f t="shared" si="7"/>
        <v>0.5</v>
      </c>
      <c r="L48" s="331">
        <f t="shared" si="7"/>
        <v>0.5</v>
      </c>
      <c r="M48" s="332">
        <f t="shared" si="7"/>
        <v>0.5</v>
      </c>
      <c r="N48" s="48"/>
    </row>
    <row r="49" spans="2:14" x14ac:dyDescent="0.2">
      <c r="B49" s="284" t="s">
        <v>514</v>
      </c>
      <c r="C49" s="46"/>
      <c r="D49" s="46"/>
      <c r="E49" s="46"/>
      <c r="F49" s="46"/>
      <c r="G49" s="337">
        <v>0.35</v>
      </c>
      <c r="H49" s="330">
        <f>G49+G49*($K$42)</f>
        <v>0.35</v>
      </c>
      <c r="I49" s="331">
        <f t="shared" si="7"/>
        <v>0.35</v>
      </c>
      <c r="J49" s="331">
        <f t="shared" si="7"/>
        <v>0.35</v>
      </c>
      <c r="K49" s="331">
        <f t="shared" si="7"/>
        <v>0.35</v>
      </c>
      <c r="L49" s="331">
        <f t="shared" si="7"/>
        <v>0.35</v>
      </c>
      <c r="M49" s="332">
        <f t="shared" si="7"/>
        <v>0.35</v>
      </c>
      <c r="N49" s="48"/>
    </row>
    <row r="50" spans="2:14" x14ac:dyDescent="0.2">
      <c r="B50" s="284" t="s">
        <v>512</v>
      </c>
      <c r="C50" s="46"/>
      <c r="D50" s="46"/>
      <c r="E50" s="46"/>
      <c r="F50" s="46"/>
      <c r="G50" s="338">
        <v>0.26</v>
      </c>
      <c r="H50" s="333">
        <f>G50+G50*($K$42)</f>
        <v>0.26</v>
      </c>
      <c r="I50" s="334">
        <f t="shared" si="7"/>
        <v>0.26</v>
      </c>
      <c r="J50" s="334">
        <f t="shared" si="7"/>
        <v>0.26</v>
      </c>
      <c r="K50" s="334">
        <f t="shared" si="7"/>
        <v>0.26</v>
      </c>
      <c r="L50" s="334">
        <f t="shared" si="7"/>
        <v>0.26</v>
      </c>
      <c r="M50" s="335">
        <f t="shared" si="7"/>
        <v>0.26</v>
      </c>
      <c r="N50" s="48"/>
    </row>
    <row r="51" spans="2:14" ht="13.5" thickBot="1" x14ac:dyDescent="0.25">
      <c r="B51" s="52"/>
      <c r="C51" s="53"/>
      <c r="D51" s="53"/>
      <c r="E51" s="53"/>
      <c r="F51" s="53"/>
      <c r="G51" s="53"/>
      <c r="H51" s="53"/>
      <c r="I51" s="53"/>
      <c r="J51" s="54"/>
      <c r="K51" s="54"/>
      <c r="L51" s="54"/>
      <c r="M51" s="54"/>
      <c r="N51" s="55"/>
    </row>
    <row r="52" spans="2:14" ht="14.25" thickTop="1" thickBot="1" x14ac:dyDescent="0.25"/>
    <row r="53" spans="2:14" ht="6.75" customHeight="1" thickTop="1" x14ac:dyDescent="0.2">
      <c r="B53" s="281" t="s">
        <v>167</v>
      </c>
      <c r="C53" s="279"/>
      <c r="D53" s="279"/>
      <c r="E53" s="279"/>
      <c r="F53" s="279"/>
      <c r="G53" s="279"/>
      <c r="H53" s="279"/>
      <c r="I53" s="279"/>
      <c r="J53" s="279"/>
      <c r="K53" s="279"/>
      <c r="L53" s="279"/>
      <c r="M53" s="279"/>
      <c r="N53" s="280"/>
    </row>
    <row r="54" spans="2:14" ht="16.5" customHeight="1" x14ac:dyDescent="0.2">
      <c r="B54" s="1197" t="s">
        <v>486</v>
      </c>
      <c r="C54" s="1198"/>
      <c r="D54" s="1198"/>
      <c r="E54" s="1198"/>
      <c r="F54" s="1198"/>
      <c r="G54" s="1198"/>
      <c r="H54" s="1198"/>
      <c r="I54" s="1198"/>
      <c r="J54" s="1198"/>
      <c r="K54" s="1199"/>
      <c r="L54" s="1199"/>
      <c r="M54" s="1199"/>
      <c r="N54" s="1200"/>
    </row>
    <row r="55" spans="2:14" x14ac:dyDescent="0.2">
      <c r="B55" s="56"/>
      <c r="C55" s="50"/>
      <c r="D55" s="50"/>
      <c r="E55" s="50"/>
      <c r="F55" s="50"/>
      <c r="G55" s="50"/>
      <c r="H55" s="50"/>
      <c r="I55" s="1136" t="s">
        <v>51</v>
      </c>
      <c r="J55" s="1136"/>
      <c r="K55" s="1153">
        <v>43252</v>
      </c>
      <c r="L55" s="1154"/>
      <c r="M55" s="46"/>
      <c r="N55" s="48"/>
    </row>
    <row r="56" spans="2:14" ht="32.25" customHeight="1" x14ac:dyDescent="0.2">
      <c r="B56" s="1194" t="s">
        <v>513</v>
      </c>
      <c r="C56" s="1195"/>
      <c r="D56" s="1195"/>
      <c r="E56" s="1195"/>
      <c r="F56" s="1195"/>
      <c r="G56" s="1195"/>
      <c r="H56" s="1195"/>
      <c r="I56" s="1195"/>
      <c r="J56" s="1195"/>
      <c r="K56" s="1195"/>
      <c r="L56" s="1195"/>
      <c r="M56" s="1195"/>
      <c r="N56" s="1196"/>
    </row>
    <row r="57" spans="2:14" x14ac:dyDescent="0.2">
      <c r="B57" s="56"/>
      <c r="C57" s="1209" t="s">
        <v>487</v>
      </c>
      <c r="D57" s="1209"/>
      <c r="E57" s="301">
        <v>0</v>
      </c>
      <c r="F57" s="1209" t="s">
        <v>489</v>
      </c>
      <c r="G57" s="1209"/>
      <c r="H57" s="301">
        <v>0</v>
      </c>
      <c r="I57" s="1209" t="s">
        <v>488</v>
      </c>
      <c r="J57" s="1209"/>
      <c r="K57" s="1209"/>
      <c r="L57" s="1210">
        <v>0</v>
      </c>
      <c r="M57" s="1211"/>
      <c r="N57" s="48"/>
    </row>
    <row r="58" spans="2:14" x14ac:dyDescent="0.2">
      <c r="B58" s="56"/>
      <c r="C58" s="286"/>
      <c r="D58" s="286"/>
      <c r="E58" s="299"/>
      <c r="F58" s="286"/>
      <c r="G58" s="286"/>
      <c r="H58" s="299"/>
      <c r="I58" s="1139" t="s">
        <v>381</v>
      </c>
      <c r="J58" s="1139"/>
      <c r="K58" s="1139"/>
      <c r="L58" s="1201">
        <f>IF(AND(Var_FiscalYearCrossover,Result_InflationYears&lt;=3),CHOOSE(Result_InflationYears,Tuition_Y1_PercentIncrease,Tuition_Y1_PercentIncrease+Tuition_Y2_PercentIncrease,Tuition_Y1_PercentIncrease+Tuition_Y2_PercentIncrease+Tuition_Y3_PercentIncrease),IF(Var_FiscalYearCrossover,Tuition_Y1_PercentIncrease+Tuition_Y2_PercentIncrease+Tuition_Y3_PercentIncrease*(Result_InflationYears-2),Tuition_Y1_PercentIncrease))</f>
        <v>0</v>
      </c>
      <c r="M58" s="1201"/>
      <c r="N58" s="48"/>
    </row>
    <row r="59" spans="2:14" x14ac:dyDescent="0.2">
      <c r="B59" s="56"/>
      <c r="C59" s="1209" t="s">
        <v>490</v>
      </c>
      <c r="D59" s="1209"/>
      <c r="E59" s="300">
        <v>42767</v>
      </c>
      <c r="F59" s="286"/>
      <c r="G59" s="286"/>
      <c r="H59" s="37"/>
      <c r="I59" s="286"/>
      <c r="J59" s="286"/>
      <c r="K59" s="286"/>
      <c r="L59" s="37"/>
      <c r="M59" s="46"/>
      <c r="N59" s="48"/>
    </row>
    <row r="60" spans="2:14" x14ac:dyDescent="0.2">
      <c r="B60" s="56"/>
      <c r="C60" s="50"/>
      <c r="D60" s="50"/>
      <c r="E60" s="50"/>
      <c r="F60" s="346" t="s">
        <v>527</v>
      </c>
      <c r="G60" s="60" t="str">
        <f>CONCATENATE("July ",YEAR($D$12))</f>
        <v>July 2022</v>
      </c>
      <c r="H60" s="60" t="str">
        <f>CONCATENATE("July ",YEAR($D$12)+IF(Var_FiscalYearCrossover,Result_InflationYears,0))</f>
        <v>July 2022</v>
      </c>
      <c r="I60" s="60" t="str">
        <f>CONCATENATE("July ",YEAR($D$12)+1+IF(Var_FiscalYearCrossover,Result_InflationYears,0))</f>
        <v>July 2023</v>
      </c>
      <c r="J60" s="61" t="str">
        <f>CONCATENATE("July ",YEAR($D$12)+2+IF(Var_FiscalYearCrossover,Result_InflationYears,0))</f>
        <v>July 2024</v>
      </c>
      <c r="K60" s="61" t="str">
        <f>CONCATENATE("July ",YEAR($D$12)+3+IF(Var_FiscalYearCrossover,Result_InflationYears,0))</f>
        <v>July 2025</v>
      </c>
      <c r="L60" s="61" t="str">
        <f>CONCATENATE("July ",YEAR($D$12)+4+IF(Var_FiscalYearCrossover,Result_InflationYears,0))</f>
        <v>July 2026</v>
      </c>
      <c r="M60" s="61" t="str">
        <f>CONCATENATE("July ",YEAR($D$12)+5+IF(Var_FiscalYearCrossover,Result_InflationYears,0))</f>
        <v>July 2027</v>
      </c>
      <c r="N60" s="48"/>
    </row>
    <row r="61" spans="2:14" x14ac:dyDescent="0.2">
      <c r="B61" s="58"/>
      <c r="C61" s="46"/>
      <c r="D61" s="46"/>
      <c r="E61" s="46"/>
      <c r="F61" s="46"/>
      <c r="G61" s="42" t="s">
        <v>65</v>
      </c>
      <c r="H61" s="42" t="s">
        <v>53</v>
      </c>
      <c r="I61" s="42" t="s">
        <v>54</v>
      </c>
      <c r="J61" s="42" t="s">
        <v>55</v>
      </c>
      <c r="K61" s="42" t="s">
        <v>56</v>
      </c>
      <c r="L61" s="42" t="s">
        <v>57</v>
      </c>
      <c r="M61" s="42" t="s">
        <v>225</v>
      </c>
      <c r="N61" s="48"/>
    </row>
    <row r="62" spans="2:14" x14ac:dyDescent="0.2">
      <c r="B62" s="58"/>
      <c r="C62" s="46"/>
      <c r="D62" s="46"/>
      <c r="E62" s="46"/>
      <c r="F62" s="346" t="s">
        <v>494</v>
      </c>
      <c r="G62" s="42"/>
      <c r="H62" s="339">
        <f>L58</f>
        <v>0</v>
      </c>
      <c r="I62" s="339">
        <f>IF(Var_FiscalYearCrossover,IF(Result_InflationYears=1,Tuition_Y2_PercentIncrease,Tuition_Y3_PercentIncrease),Tuition_Y2_PercentIncrease)</f>
        <v>0</v>
      </c>
      <c r="J62" s="339">
        <f>Tuition_Y3_PercentIncrease</f>
        <v>0</v>
      </c>
      <c r="K62" s="339">
        <f>Tuition_Y3_PercentIncrease</f>
        <v>0</v>
      </c>
      <c r="L62" s="339">
        <f>Tuition_Y3_PercentIncrease</f>
        <v>0</v>
      </c>
      <c r="M62" s="339">
        <f>Tuition_Y3_PercentIncrease</f>
        <v>0</v>
      </c>
      <c r="N62" s="48"/>
    </row>
    <row r="63" spans="2:14" x14ac:dyDescent="0.2">
      <c r="B63" s="284" t="s">
        <v>493</v>
      </c>
      <c r="C63" s="59"/>
      <c r="D63" s="46"/>
      <c r="E63" s="46"/>
      <c r="F63" s="46"/>
      <c r="G63" s="283">
        <v>8400</v>
      </c>
      <c r="H63" s="292">
        <f>(G63+G63*L58)*IF(Data_PreventTuitionCalculation,0,1)</f>
        <v>8400</v>
      </c>
      <c r="I63" s="293">
        <f>H63+H63*IF(Var_FiscalYearCrossover,IF(Result_InflationYears=1,Tuition_Y2_PercentIncrease,Tuition_Y3_PercentIncrease),Tuition_Y2_PercentIncrease)</f>
        <v>8400</v>
      </c>
      <c r="J63" s="293">
        <f>I63+I63*$L$57</f>
        <v>8400</v>
      </c>
      <c r="K63" s="293">
        <f>J63+J63*$L$57</f>
        <v>8400</v>
      </c>
      <c r="L63" s="293">
        <f>K63+K63*$L$57</f>
        <v>8400</v>
      </c>
      <c r="M63" s="294">
        <f>L63+L63*$L$57</f>
        <v>8400</v>
      </c>
      <c r="N63" s="48"/>
    </row>
    <row r="64" spans="2:14" ht="13.5" thickBot="1" x14ac:dyDescent="0.25">
      <c r="B64" s="52"/>
      <c r="C64" s="53"/>
      <c r="D64" s="53"/>
      <c r="E64" s="53"/>
      <c r="F64" s="53"/>
      <c r="G64" s="53"/>
      <c r="H64" s="53"/>
      <c r="I64" s="53"/>
      <c r="J64" s="54"/>
      <c r="K64" s="54"/>
      <c r="L64" s="54"/>
      <c r="M64" s="54"/>
      <c r="N64" s="55"/>
    </row>
    <row r="65" spans="2:21" ht="14.25" thickTop="1" thickBot="1" x14ac:dyDescent="0.25"/>
    <row r="66" spans="2:21" ht="6.75" customHeight="1" thickTop="1" x14ac:dyDescent="0.2">
      <c r="B66" s="278"/>
      <c r="C66" s="279"/>
      <c r="D66" s="279"/>
      <c r="E66" s="279"/>
      <c r="F66" s="279"/>
      <c r="G66" s="279"/>
      <c r="H66" s="279"/>
      <c r="I66" s="279"/>
      <c r="J66" s="279"/>
      <c r="K66" s="279"/>
      <c r="L66" s="279"/>
      <c r="M66" s="279"/>
      <c r="N66" s="280"/>
      <c r="P66"/>
      <c r="Q66"/>
      <c r="R66"/>
      <c r="S66"/>
      <c r="T66"/>
      <c r="U66"/>
    </row>
    <row r="67" spans="2:21" ht="20.100000000000001" customHeight="1" x14ac:dyDescent="0.2">
      <c r="B67" s="1197" t="s">
        <v>68</v>
      </c>
      <c r="C67" s="1198"/>
      <c r="D67" s="1198"/>
      <c r="E67" s="1198"/>
      <c r="F67" s="1198"/>
      <c r="G67" s="1198"/>
      <c r="H67" s="1198"/>
      <c r="I67" s="1198"/>
      <c r="J67" s="1198"/>
      <c r="K67" s="1199"/>
      <c r="L67" s="1199"/>
      <c r="M67" s="1199"/>
      <c r="N67" s="1200"/>
      <c r="R67" s="64"/>
    </row>
    <row r="68" spans="2:21" ht="12.75" customHeight="1" x14ac:dyDescent="0.2">
      <c r="B68" s="65"/>
      <c r="C68" s="66"/>
      <c r="D68" s="66"/>
      <c r="E68" s="66"/>
      <c r="F68" s="66"/>
      <c r="G68" s="66"/>
      <c r="H68" s="66"/>
      <c r="I68" s="1136" t="s">
        <v>51</v>
      </c>
      <c r="J68" s="1136"/>
      <c r="K68" s="1153">
        <v>44642</v>
      </c>
      <c r="L68" s="1154"/>
      <c r="M68" s="37"/>
      <c r="N68" s="67"/>
      <c r="R68" s="64"/>
    </row>
    <row r="69" spans="2:21" ht="42" customHeight="1" x14ac:dyDescent="0.2">
      <c r="B69" s="1194" t="s">
        <v>515</v>
      </c>
      <c r="C69" s="1195"/>
      <c r="D69" s="1195"/>
      <c r="E69" s="1195"/>
      <c r="F69" s="1195"/>
      <c r="G69" s="1195"/>
      <c r="H69" s="1195"/>
      <c r="I69" s="1195"/>
      <c r="J69" s="1195"/>
      <c r="K69" s="1195"/>
      <c r="L69" s="1195"/>
      <c r="M69" s="1195"/>
      <c r="N69" s="1196"/>
      <c r="R69" s="64"/>
    </row>
    <row r="70" spans="2:21" x14ac:dyDescent="0.2">
      <c r="B70" s="57"/>
      <c r="C70" s="46"/>
      <c r="D70" s="46"/>
      <c r="E70" s="46"/>
      <c r="F70" s="46"/>
      <c r="G70" s="46"/>
      <c r="H70" s="46"/>
      <c r="I70" s="1203"/>
      <c r="J70" s="1203"/>
      <c r="K70" s="1205"/>
      <c r="L70" s="1203"/>
      <c r="M70" s="37"/>
      <c r="N70" s="48"/>
      <c r="R70" s="64"/>
    </row>
    <row r="71" spans="2:21" x14ac:dyDescent="0.2">
      <c r="B71" s="57"/>
      <c r="C71" s="1141" t="s">
        <v>86</v>
      </c>
      <c r="D71" s="1142"/>
      <c r="E71" s="1143"/>
      <c r="F71" s="1140">
        <v>0</v>
      </c>
      <c r="G71" s="1140"/>
      <c r="H71" s="1141" t="s">
        <v>87</v>
      </c>
      <c r="I71" s="1142"/>
      <c r="J71" s="1143"/>
      <c r="K71" s="1140">
        <v>0</v>
      </c>
      <c r="L71" s="1140"/>
      <c r="M71" s="68"/>
      <c r="N71" s="48"/>
      <c r="R71" s="64"/>
    </row>
    <row r="72" spans="2:21" x14ac:dyDescent="0.2">
      <c r="B72" s="57"/>
      <c r="C72" s="1141" t="s">
        <v>88</v>
      </c>
      <c r="D72" s="1142"/>
      <c r="E72" s="1143"/>
      <c r="F72" s="1140">
        <v>0.02</v>
      </c>
      <c r="G72" s="1140"/>
      <c r="H72" s="1141" t="s">
        <v>89</v>
      </c>
      <c r="I72" s="1142"/>
      <c r="J72" s="1143"/>
      <c r="K72" s="1140">
        <v>0.02</v>
      </c>
      <c r="L72" s="1140"/>
      <c r="M72" s="68"/>
      <c r="N72" s="48"/>
      <c r="R72" s="64"/>
    </row>
    <row r="73" spans="2:21" x14ac:dyDescent="0.2">
      <c r="B73" s="57"/>
      <c r="C73" s="1141" t="s">
        <v>384</v>
      </c>
      <c r="D73" s="1142"/>
      <c r="E73" s="1143"/>
      <c r="F73" s="1165">
        <f>IF(AND(Var_FiscalYearCrossover,Result_InflationYears&lt;=2),CHOOSE(Result_InflationYears,Var_RAStipendFirstYearPercentageIncrease,Var_RAStipendFirstYearPercentageIncrease+Var_RAStipendSubsequentYearPercentageIncrease),IF(Var_FiscalYearCrossover,Var_RAStipendFirstYearPercentageIncrease+Var_RAStipendSubsequentYearPercentageIncrease*(Result_InflationYears-1),0))</f>
        <v>0</v>
      </c>
      <c r="G73" s="1165"/>
      <c r="H73" s="1141" t="s">
        <v>385</v>
      </c>
      <c r="I73" s="1142"/>
      <c r="J73" s="1143"/>
      <c r="K73" s="1165">
        <f>IF(AND(Var_FiscalYearCrossover,Result_InflationYears&lt;=2),CHOOSE(Result_InflationYears,Var_PAStipendFirstYearPercentageIncrease,Var_PAStipendFirstYearPercentageIncrease+Var_PAStipendSubsequentYearPercentageIncrease),IF(Var_FiscalYearCrossover,Var_PAStipendFirstYearPercentageIncrease+Var_PAStipendSubsequentYearPercentageIncrease*(Result_InflationYears-1),0))</f>
        <v>0</v>
      </c>
      <c r="L73" s="1165"/>
      <c r="M73" s="68"/>
      <c r="N73" s="48"/>
      <c r="R73" s="64"/>
    </row>
    <row r="74" spans="2:21" x14ac:dyDescent="0.2">
      <c r="B74" s="57"/>
      <c r="C74" s="46"/>
      <c r="D74" s="46"/>
      <c r="E74" s="46"/>
      <c r="F74" s="46"/>
      <c r="G74" s="46"/>
      <c r="H74" s="46"/>
      <c r="I74" s="46"/>
      <c r="J74" s="46"/>
      <c r="K74" s="46"/>
      <c r="L74" s="46"/>
      <c r="M74" s="46"/>
      <c r="N74" s="48"/>
      <c r="R74" s="64"/>
    </row>
    <row r="75" spans="2:21" ht="12.75" customHeight="1" x14ac:dyDescent="0.2">
      <c r="B75" s="62"/>
      <c r="C75" s="59"/>
      <c r="D75" s="59"/>
      <c r="E75" s="46"/>
      <c r="F75" s="346" t="s">
        <v>527</v>
      </c>
      <c r="G75" s="60" t="str">
        <f>CONCATENATE("July ",YEAR($D$12))</f>
        <v>July 2022</v>
      </c>
      <c r="H75" s="60" t="str">
        <f>CONCATENATE("July ",YEAR($D$12)+IF(Var_FiscalYearCrossover,Result_InflationYears,0))</f>
        <v>July 2022</v>
      </c>
      <c r="I75" s="60" t="str">
        <f>CONCATENATE("July ",YEAR($D$12)+1+IF(Var_FiscalYearCrossover,Result_InflationYears,0))</f>
        <v>July 2023</v>
      </c>
      <c r="J75" s="61" t="str">
        <f>CONCATENATE("July ",YEAR($D$12)+2+IF(Var_FiscalYearCrossover,Result_InflationYears,0))</f>
        <v>July 2024</v>
      </c>
      <c r="K75" s="61" t="str">
        <f>CONCATENATE("July ",YEAR($D$12)+3+IF(Var_FiscalYearCrossover,Result_InflationYears,0))</f>
        <v>July 2025</v>
      </c>
      <c r="L75" s="61" t="str">
        <f>CONCATENATE("July ",YEAR($D$12)+4+IF(Var_FiscalYearCrossover,Result_InflationYears,0))</f>
        <v>July 2026</v>
      </c>
      <c r="M75" s="61" t="str">
        <f>CONCATENATE("July ",YEAR($D$12)+5+IF(Var_FiscalYearCrossover,Result_InflationYears,0))</f>
        <v>July 2027</v>
      </c>
      <c r="N75" s="48"/>
      <c r="R75" s="64"/>
    </row>
    <row r="76" spans="2:21" ht="12.75" customHeight="1" x14ac:dyDescent="0.2">
      <c r="B76" s="58"/>
      <c r="C76" s="46"/>
      <c r="D76" s="46"/>
      <c r="E76" s="46"/>
      <c r="F76" s="46"/>
      <c r="G76" s="42" t="s">
        <v>65</v>
      </c>
      <c r="H76" s="42" t="s">
        <v>53</v>
      </c>
      <c r="I76" s="42" t="s">
        <v>54</v>
      </c>
      <c r="J76" s="42" t="s">
        <v>55</v>
      </c>
      <c r="K76" s="42" t="s">
        <v>56</v>
      </c>
      <c r="L76" s="42" t="s">
        <v>57</v>
      </c>
      <c r="M76" s="42" t="s">
        <v>225</v>
      </c>
      <c r="N76" s="48"/>
    </row>
    <row r="77" spans="2:21" ht="12.75" customHeight="1" x14ac:dyDescent="0.2">
      <c r="B77" s="58"/>
      <c r="C77" s="46"/>
      <c r="D77" s="46"/>
      <c r="E77" s="46"/>
      <c r="F77" s="346" t="s">
        <v>494</v>
      </c>
      <c r="G77" s="312"/>
      <c r="H77" s="312" t="str">
        <f>TEXT(Var_PAStipendStartDatePercentageIncrease,"0.0%")</f>
        <v>0.0%</v>
      </c>
      <c r="I77" s="312" t="str">
        <f>TEXT(Var_PAStipendSubsequentYearPercentageIncrease,"0.0%")</f>
        <v>2.0%</v>
      </c>
      <c r="J77" s="312" t="str">
        <f>TEXT(Var_PAStipendSubsequentYearPercentageIncrease,"0.0%")</f>
        <v>2.0%</v>
      </c>
      <c r="K77" s="312" t="str">
        <f>TEXT(Var_PAStipendSubsequentYearPercentageIncrease,"0.0%")</f>
        <v>2.0%</v>
      </c>
      <c r="L77" s="312" t="str">
        <f>TEXT(Var_PAStipendSubsequentYearPercentageIncrease,"0.0%")</f>
        <v>2.0%</v>
      </c>
      <c r="M77" s="312" t="str">
        <f>TEXT(Var_PAStipendSubsequentYearPercentageIncrease,"0.0%")</f>
        <v>2.0%</v>
      </c>
      <c r="N77" s="48"/>
    </row>
    <row r="78" spans="2:21" ht="12.75" customHeight="1" x14ac:dyDescent="0.2">
      <c r="B78" s="45" t="s">
        <v>69</v>
      </c>
      <c r="C78" s="69"/>
      <c r="D78" s="69"/>
      <c r="E78" s="69"/>
      <c r="F78" s="46"/>
      <c r="G78" s="263"/>
      <c r="H78" s="1144" t="s">
        <v>495</v>
      </c>
      <c r="I78" s="1145"/>
      <c r="J78" s="1145"/>
      <c r="K78" s="1145"/>
      <c r="L78" s="1145"/>
      <c r="M78" s="1146"/>
      <c r="N78" s="48"/>
    </row>
    <row r="79" spans="2:21" ht="12.75" customHeight="1" x14ac:dyDescent="0.2">
      <c r="B79" s="45" t="s">
        <v>70</v>
      </c>
      <c r="C79" s="69"/>
      <c r="D79" s="69"/>
      <c r="E79" s="69"/>
      <c r="F79" s="46"/>
      <c r="G79" s="264"/>
      <c r="H79" s="1147"/>
      <c r="I79" s="1148"/>
      <c r="J79" s="1148"/>
      <c r="K79" s="1148"/>
      <c r="L79" s="1148"/>
      <c r="M79" s="1149"/>
      <c r="N79" s="48"/>
    </row>
    <row r="80" spans="2:21" ht="12.75" customHeight="1" x14ac:dyDescent="0.2">
      <c r="B80" s="45" t="s">
        <v>71</v>
      </c>
      <c r="C80" s="69"/>
      <c r="D80" s="69"/>
      <c r="E80" s="69"/>
      <c r="F80" s="46"/>
      <c r="G80" s="264"/>
      <c r="H80" s="1147"/>
      <c r="I80" s="1148"/>
      <c r="J80" s="1148"/>
      <c r="K80" s="1148"/>
      <c r="L80" s="1148"/>
      <c r="M80" s="1149"/>
      <c r="N80" s="48"/>
    </row>
    <row r="81" spans="2:14" ht="12.75" customHeight="1" x14ac:dyDescent="0.2">
      <c r="B81" s="45" t="s">
        <v>72</v>
      </c>
      <c r="C81" s="69"/>
      <c r="D81" s="69"/>
      <c r="E81" s="69"/>
      <c r="F81" s="46"/>
      <c r="G81" s="265"/>
      <c r="H81" s="1150"/>
      <c r="I81" s="1151"/>
      <c r="J81" s="1151"/>
      <c r="K81" s="1151"/>
      <c r="L81" s="1151"/>
      <c r="M81" s="1152"/>
      <c r="N81" s="48"/>
    </row>
    <row r="82" spans="2:14" x14ac:dyDescent="0.2">
      <c r="B82" s="45" t="s">
        <v>73</v>
      </c>
      <c r="C82" s="69"/>
      <c r="D82" s="69"/>
      <c r="E82" s="69"/>
      <c r="F82" s="46"/>
      <c r="G82" s="70">
        <v>18366</v>
      </c>
      <c r="H82" s="71">
        <f>G82*(1+$K$71+$K$73)</f>
        <v>18366</v>
      </c>
      <c r="I82" s="72">
        <f t="shared" ref="I82:M89" si="8">H82*(1+$K$72)</f>
        <v>18733</v>
      </c>
      <c r="J82" s="72">
        <f t="shared" si="8"/>
        <v>19108</v>
      </c>
      <c r="K82" s="72">
        <f t="shared" si="8"/>
        <v>19490</v>
      </c>
      <c r="L82" s="72">
        <f t="shared" si="8"/>
        <v>19880</v>
      </c>
      <c r="M82" s="73">
        <f t="shared" si="8"/>
        <v>20278</v>
      </c>
      <c r="N82" s="48"/>
    </row>
    <row r="83" spans="2:14" x14ac:dyDescent="0.2">
      <c r="B83" s="45" t="s">
        <v>74</v>
      </c>
      <c r="C83" s="69"/>
      <c r="D83" s="69"/>
      <c r="E83" s="69"/>
      <c r="F83" s="46"/>
      <c r="G83" s="70">
        <v>12539</v>
      </c>
      <c r="H83" s="71">
        <f t="shared" ref="H83:H89" si="9">G83*(1+$K$71+$K$73)</f>
        <v>12539</v>
      </c>
      <c r="I83" s="72">
        <f t="shared" si="8"/>
        <v>12790</v>
      </c>
      <c r="J83" s="72">
        <f t="shared" si="8"/>
        <v>13046</v>
      </c>
      <c r="K83" s="72">
        <f t="shared" si="8"/>
        <v>13307</v>
      </c>
      <c r="L83" s="72">
        <f t="shared" si="8"/>
        <v>13573</v>
      </c>
      <c r="M83" s="73">
        <f t="shared" si="8"/>
        <v>13844</v>
      </c>
      <c r="N83" s="48"/>
    </row>
    <row r="84" spans="2:14" x14ac:dyDescent="0.2">
      <c r="B84" s="45" t="s">
        <v>75</v>
      </c>
      <c r="C84" s="69"/>
      <c r="D84" s="69"/>
      <c r="E84" s="69"/>
      <c r="F84" s="46"/>
      <c r="G84" s="70">
        <v>14128</v>
      </c>
      <c r="H84" s="71">
        <f t="shared" si="9"/>
        <v>14128</v>
      </c>
      <c r="I84" s="72">
        <f t="shared" si="8"/>
        <v>14411</v>
      </c>
      <c r="J84" s="72">
        <f t="shared" si="8"/>
        <v>14699</v>
      </c>
      <c r="K84" s="72">
        <f t="shared" si="8"/>
        <v>14993</v>
      </c>
      <c r="L84" s="72">
        <f t="shared" si="8"/>
        <v>15293</v>
      </c>
      <c r="M84" s="73">
        <f t="shared" si="8"/>
        <v>15599</v>
      </c>
      <c r="N84" s="48"/>
    </row>
    <row r="85" spans="2:14" x14ac:dyDescent="0.2">
      <c r="B85" s="45" t="s">
        <v>76</v>
      </c>
      <c r="C85" s="69"/>
      <c r="D85" s="69"/>
      <c r="E85" s="69"/>
      <c r="F85" s="46"/>
      <c r="G85" s="70">
        <v>9360</v>
      </c>
      <c r="H85" s="71">
        <f t="shared" si="9"/>
        <v>9360</v>
      </c>
      <c r="I85" s="72">
        <f t="shared" si="8"/>
        <v>9547</v>
      </c>
      <c r="J85" s="72">
        <f t="shared" si="8"/>
        <v>9738</v>
      </c>
      <c r="K85" s="72">
        <f t="shared" si="8"/>
        <v>9933</v>
      </c>
      <c r="L85" s="72">
        <f t="shared" si="8"/>
        <v>10132</v>
      </c>
      <c r="M85" s="73">
        <f t="shared" si="8"/>
        <v>10335</v>
      </c>
      <c r="N85" s="48"/>
    </row>
    <row r="86" spans="2:14" x14ac:dyDescent="0.2">
      <c r="B86" s="45" t="s">
        <v>77</v>
      </c>
      <c r="C86" s="69"/>
      <c r="D86" s="69"/>
      <c r="E86" s="69"/>
      <c r="F86" s="46"/>
      <c r="G86" s="70">
        <v>16661</v>
      </c>
      <c r="H86" s="71">
        <f t="shared" si="9"/>
        <v>16661</v>
      </c>
      <c r="I86" s="72">
        <f t="shared" si="8"/>
        <v>16994</v>
      </c>
      <c r="J86" s="72">
        <f t="shared" si="8"/>
        <v>17334</v>
      </c>
      <c r="K86" s="72">
        <f t="shared" si="8"/>
        <v>17681</v>
      </c>
      <c r="L86" s="72">
        <f t="shared" si="8"/>
        <v>18035</v>
      </c>
      <c r="M86" s="73">
        <f t="shared" si="8"/>
        <v>18396</v>
      </c>
      <c r="N86" s="48"/>
    </row>
    <row r="87" spans="2:14" x14ac:dyDescent="0.2">
      <c r="B87" s="45" t="s">
        <v>78</v>
      </c>
      <c r="C87" s="69"/>
      <c r="D87" s="69"/>
      <c r="E87" s="69"/>
      <c r="F87" s="46"/>
      <c r="G87" s="70">
        <v>11374</v>
      </c>
      <c r="H87" s="71">
        <f>G87*(1+$K$71+$K$73)</f>
        <v>11374</v>
      </c>
      <c r="I87" s="72">
        <f t="shared" si="8"/>
        <v>11601</v>
      </c>
      <c r="J87" s="72">
        <f t="shared" si="8"/>
        <v>11833</v>
      </c>
      <c r="K87" s="72">
        <f t="shared" si="8"/>
        <v>12070</v>
      </c>
      <c r="L87" s="72">
        <f t="shared" si="8"/>
        <v>12311</v>
      </c>
      <c r="M87" s="73">
        <f t="shared" si="8"/>
        <v>12557</v>
      </c>
      <c r="N87" s="48"/>
    </row>
    <row r="88" spans="2:14" x14ac:dyDescent="0.2">
      <c r="B88" s="45" t="s">
        <v>79</v>
      </c>
      <c r="C88" s="69"/>
      <c r="D88" s="69"/>
      <c r="E88" s="69"/>
      <c r="F88" s="46"/>
      <c r="G88" s="70">
        <v>12816</v>
      </c>
      <c r="H88" s="71">
        <f t="shared" si="9"/>
        <v>12816</v>
      </c>
      <c r="I88" s="72">
        <f t="shared" si="8"/>
        <v>13072</v>
      </c>
      <c r="J88" s="72">
        <f t="shared" si="8"/>
        <v>13333</v>
      </c>
      <c r="K88" s="72">
        <f t="shared" si="8"/>
        <v>13600</v>
      </c>
      <c r="L88" s="72">
        <f t="shared" si="8"/>
        <v>13872</v>
      </c>
      <c r="M88" s="73">
        <f t="shared" si="8"/>
        <v>14149</v>
      </c>
      <c r="N88" s="48"/>
    </row>
    <row r="89" spans="2:14" x14ac:dyDescent="0.2">
      <c r="B89" s="45" t="s">
        <v>80</v>
      </c>
      <c r="C89" s="69"/>
      <c r="D89" s="69"/>
      <c r="E89" s="69"/>
      <c r="F89" s="46"/>
      <c r="G89" s="74">
        <v>8491</v>
      </c>
      <c r="H89" s="75">
        <f t="shared" si="9"/>
        <v>8491</v>
      </c>
      <c r="I89" s="76">
        <f t="shared" si="8"/>
        <v>8661</v>
      </c>
      <c r="J89" s="76">
        <f t="shared" si="8"/>
        <v>8834</v>
      </c>
      <c r="K89" s="76">
        <f t="shared" si="8"/>
        <v>9011</v>
      </c>
      <c r="L89" s="76">
        <f t="shared" si="8"/>
        <v>9191</v>
      </c>
      <c r="M89" s="77">
        <f t="shared" si="8"/>
        <v>9375</v>
      </c>
      <c r="N89" s="48"/>
    </row>
    <row r="90" spans="2:14" ht="13.5" thickBot="1" x14ac:dyDescent="0.25">
      <c r="B90" s="78"/>
      <c r="C90" s="79"/>
      <c r="D90" s="79"/>
      <c r="E90" s="79"/>
      <c r="F90" s="54"/>
      <c r="G90" s="63"/>
      <c r="H90" s="63"/>
      <c r="I90" s="63"/>
      <c r="J90" s="63"/>
      <c r="K90" s="63"/>
      <c r="L90" s="63"/>
      <c r="M90" s="63"/>
      <c r="N90" s="55"/>
    </row>
    <row r="91" spans="2:14" ht="14.25" thickTop="1" thickBot="1" x14ac:dyDescent="0.25">
      <c r="B91"/>
      <c r="C91"/>
      <c r="D91"/>
      <c r="E91"/>
      <c r="F91"/>
      <c r="G91"/>
      <c r="H91"/>
      <c r="I91"/>
      <c r="J91"/>
      <c r="K91"/>
      <c r="L91"/>
      <c r="M91"/>
      <c r="N91"/>
    </row>
    <row r="92" spans="2:14" ht="6.4" customHeight="1" thickTop="1" x14ac:dyDescent="0.2">
      <c r="B92" s="281" t="s">
        <v>167</v>
      </c>
      <c r="C92" s="279"/>
      <c r="D92" s="279"/>
      <c r="E92" s="279"/>
      <c r="F92" s="279"/>
      <c r="G92" s="279"/>
      <c r="H92" s="279"/>
      <c r="I92" s="279"/>
      <c r="J92" s="279"/>
      <c r="K92" s="279"/>
      <c r="L92" s="279"/>
      <c r="M92" s="279"/>
      <c r="N92" s="280"/>
    </row>
    <row r="93" spans="2:14" ht="19.5" customHeight="1" x14ac:dyDescent="0.2">
      <c r="B93" s="1166" t="s">
        <v>492</v>
      </c>
      <c r="C93" s="1167"/>
      <c r="D93" s="1167"/>
      <c r="E93" s="1167"/>
      <c r="F93" s="1167"/>
      <c r="G93" s="1167"/>
      <c r="H93" s="1167"/>
      <c r="I93" s="1167"/>
      <c r="J93" s="1167"/>
      <c r="K93" s="1167"/>
      <c r="L93" s="1167"/>
      <c r="M93" s="1167"/>
      <c r="N93" s="1168"/>
    </row>
    <row r="94" spans="2:14" x14ac:dyDescent="0.2">
      <c r="B94" s="305"/>
      <c r="C94" s="7"/>
      <c r="D94" s="7"/>
      <c r="E94" s="7"/>
      <c r="F94" s="7"/>
      <c r="G94" s="7"/>
      <c r="H94" s="7"/>
      <c r="I94" s="1136" t="s">
        <v>51</v>
      </c>
      <c r="J94" s="1136"/>
      <c r="K94" s="1153">
        <v>42581</v>
      </c>
      <c r="L94" s="1154"/>
      <c r="M94" s="7"/>
      <c r="N94" s="306"/>
    </row>
    <row r="95" spans="2:14" x14ac:dyDescent="0.2">
      <c r="B95" s="1194"/>
      <c r="C95" s="1195"/>
      <c r="D95" s="1195"/>
      <c r="E95" s="1195"/>
      <c r="F95" s="1195"/>
      <c r="G95" s="1195"/>
      <c r="H95" s="1195"/>
      <c r="I95" s="1195"/>
      <c r="J95" s="1195"/>
      <c r="K95" s="1195"/>
      <c r="L95" s="1195"/>
      <c r="M95" s="1195"/>
      <c r="N95" s="1196"/>
    </row>
    <row r="96" spans="2:14" x14ac:dyDescent="0.2">
      <c r="B96" s="305"/>
      <c r="C96" s="26"/>
      <c r="D96" s="26"/>
      <c r="E96" s="26"/>
      <c r="F96" s="26"/>
      <c r="G96" s="26"/>
      <c r="H96" s="1155" t="s">
        <v>52</v>
      </c>
      <c r="I96" s="1156"/>
      <c r="J96" s="1157"/>
      <c r="K96" s="1158">
        <v>0</v>
      </c>
      <c r="L96" s="1159"/>
      <c r="M96" s="26"/>
      <c r="N96" s="306"/>
    </row>
    <row r="97" spans="2:14" x14ac:dyDescent="0.2">
      <c r="B97" s="305"/>
      <c r="C97" s="26"/>
      <c r="D97" s="26"/>
      <c r="E97" s="26"/>
      <c r="F97" s="26"/>
      <c r="G97" s="26"/>
      <c r="H97" s="1160" t="s">
        <v>381</v>
      </c>
      <c r="I97" s="1161"/>
      <c r="J97" s="1162"/>
      <c r="K97" s="1163">
        <f>IF(Var_FiscalYearCrossover,K96*Result_InflationYears,0)</f>
        <v>0</v>
      </c>
      <c r="L97" s="1164"/>
      <c r="M97" s="26"/>
      <c r="N97" s="306"/>
    </row>
    <row r="98" spans="2:14" x14ac:dyDescent="0.2">
      <c r="B98" s="305"/>
      <c r="C98" s="7"/>
      <c r="D98" s="7"/>
      <c r="E98" s="7"/>
      <c r="F98" s="7"/>
      <c r="G98" s="7"/>
      <c r="H98" s="7"/>
      <c r="I98" s="7"/>
      <c r="J98" s="7"/>
      <c r="K98" s="7"/>
      <c r="L98" s="7"/>
      <c r="M98" s="7"/>
      <c r="N98" s="306"/>
    </row>
    <row r="99" spans="2:14" x14ac:dyDescent="0.2">
      <c r="B99" s="58"/>
      <c r="C99" s="46"/>
      <c r="D99" s="42"/>
      <c r="E99" s="59"/>
      <c r="F99" s="346" t="s">
        <v>527</v>
      </c>
      <c r="G99" s="60" t="str">
        <f>CONCATENATE("July ",YEAR($D$12))</f>
        <v>July 2022</v>
      </c>
      <c r="H99" s="60" t="str">
        <f>CONCATENATE("July ",YEAR($D$12)+IF(Var_FiscalYearCrossover,Result_InflationYears,0))</f>
        <v>July 2022</v>
      </c>
      <c r="I99" s="60" t="str">
        <f>CONCATENATE("July ",YEAR($D$12)+1+IF(Var_FiscalYearCrossover,Result_InflationYears,0))</f>
        <v>July 2023</v>
      </c>
      <c r="J99" s="61" t="str">
        <f>CONCATENATE("July ",YEAR($D$12)+2+IF(Var_FiscalYearCrossover,Result_InflationYears,0))</f>
        <v>July 2024</v>
      </c>
      <c r="K99" s="61" t="str">
        <f>CONCATENATE("July ",YEAR($D$12)+3+IF(Var_FiscalYearCrossover,Result_InflationYears,0))</f>
        <v>July 2025</v>
      </c>
      <c r="L99" s="61" t="str">
        <f>CONCATENATE("July ",YEAR($D$12)+4+IF(Var_FiscalYearCrossover,Result_InflationYears,0))</f>
        <v>July 2026</v>
      </c>
      <c r="M99" s="61" t="str">
        <f>CONCATENATE("July ",YEAR($D$12)+5+IF(Var_FiscalYearCrossover,Result_InflationYears,0))</f>
        <v>July 2027</v>
      </c>
      <c r="N99" s="306"/>
    </row>
    <row r="100" spans="2:14" x14ac:dyDescent="0.2">
      <c r="B100" s="58"/>
      <c r="C100" s="46"/>
      <c r="D100" s="46"/>
      <c r="E100" s="46"/>
      <c r="F100" s="46"/>
      <c r="G100" s="42" t="s">
        <v>65</v>
      </c>
      <c r="H100" s="42" t="s">
        <v>53</v>
      </c>
      <c r="I100" s="42" t="s">
        <v>54</v>
      </c>
      <c r="J100" s="42" t="s">
        <v>55</v>
      </c>
      <c r="K100" s="42" t="s">
        <v>56</v>
      </c>
      <c r="L100" s="42" t="s">
        <v>57</v>
      </c>
      <c r="M100" s="42" t="s">
        <v>225</v>
      </c>
      <c r="N100" s="306"/>
    </row>
    <row r="101" spans="2:14" x14ac:dyDescent="0.2">
      <c r="B101" s="58"/>
      <c r="C101" s="46"/>
      <c r="D101" s="46"/>
      <c r="E101" s="46"/>
      <c r="F101" s="346" t="s">
        <v>494</v>
      </c>
      <c r="G101" s="311"/>
      <c r="H101" s="310">
        <f>K97</f>
        <v>0</v>
      </c>
      <c r="I101" s="310">
        <f>$K$96</f>
        <v>0</v>
      </c>
      <c r="J101" s="310">
        <f t="shared" ref="J101:M101" si="10">$K$96</f>
        <v>0</v>
      </c>
      <c r="K101" s="310">
        <f t="shared" si="10"/>
        <v>0</v>
      </c>
      <c r="L101" s="310">
        <f t="shared" si="10"/>
        <v>0</v>
      </c>
      <c r="M101" s="310">
        <f t="shared" si="10"/>
        <v>0</v>
      </c>
      <c r="N101" s="306"/>
    </row>
    <row r="102" spans="2:14" x14ac:dyDescent="0.2">
      <c r="B102" s="284" t="s">
        <v>66</v>
      </c>
      <c r="C102" s="59"/>
      <c r="D102" s="46"/>
      <c r="E102" s="46"/>
      <c r="F102" s="46"/>
      <c r="G102" s="290">
        <v>38845</v>
      </c>
      <c r="H102" s="295">
        <f>G102+G102*K97</f>
        <v>38845</v>
      </c>
      <c r="I102" s="296">
        <f>H102+H102*$K$96</f>
        <v>38845</v>
      </c>
      <c r="J102" s="296">
        <f t="shared" ref="J102:M102" si="11">I102+I102*$K$96</f>
        <v>38845</v>
      </c>
      <c r="K102" s="296">
        <f t="shared" si="11"/>
        <v>38845</v>
      </c>
      <c r="L102" s="296">
        <f t="shared" si="11"/>
        <v>38845</v>
      </c>
      <c r="M102" s="297">
        <f t="shared" si="11"/>
        <v>38845</v>
      </c>
      <c r="N102" s="306"/>
    </row>
    <row r="103" spans="2:14" x14ac:dyDescent="0.2">
      <c r="B103" s="284" t="s">
        <v>67</v>
      </c>
      <c r="C103" s="59"/>
      <c r="D103" s="46"/>
      <c r="E103" s="46"/>
      <c r="F103" s="46"/>
      <c r="G103" s="291">
        <v>47476</v>
      </c>
      <c r="H103" s="298">
        <f>G103+G103*K97</f>
        <v>47476</v>
      </c>
      <c r="I103" s="76">
        <f>H103+H103*$K$96</f>
        <v>47476</v>
      </c>
      <c r="J103" s="76">
        <f t="shared" ref="J103:M103" si="12">I103+I103*$K$96</f>
        <v>47476</v>
      </c>
      <c r="K103" s="76">
        <f t="shared" si="12"/>
        <v>47476</v>
      </c>
      <c r="L103" s="76">
        <f t="shared" si="12"/>
        <v>47476</v>
      </c>
      <c r="M103" s="77">
        <f t="shared" si="12"/>
        <v>47476</v>
      </c>
      <c r="N103" s="306"/>
    </row>
    <row r="104" spans="2:14" ht="13.5" thickBot="1" x14ac:dyDescent="0.25">
      <c r="B104" s="307"/>
      <c r="C104" s="308"/>
      <c r="D104" s="308"/>
      <c r="E104" s="308"/>
      <c r="F104" s="308"/>
      <c r="G104" s="308"/>
      <c r="H104" s="308"/>
      <c r="I104" s="308"/>
      <c r="J104" s="308"/>
      <c r="K104" s="308"/>
      <c r="L104" s="308"/>
      <c r="M104" s="308"/>
      <c r="N104" s="309"/>
    </row>
    <row r="105" spans="2:14" ht="14.25" thickTop="1" thickBot="1" x14ac:dyDescent="0.25">
      <c r="B105"/>
      <c r="C105"/>
      <c r="D105"/>
      <c r="E105"/>
      <c r="F105"/>
      <c r="G105"/>
      <c r="H105"/>
      <c r="I105"/>
      <c r="J105"/>
      <c r="K105"/>
      <c r="L105"/>
      <c r="M105"/>
      <c r="N105"/>
    </row>
    <row r="106" spans="2:14" ht="7.15" customHeight="1" thickTop="1" x14ac:dyDescent="0.2">
      <c r="B106" s="366"/>
      <c r="C106" s="367"/>
      <c r="D106" s="367"/>
      <c r="E106" s="367"/>
      <c r="F106" s="367"/>
      <c r="G106" s="367"/>
      <c r="H106" s="367"/>
      <c r="I106" s="367"/>
      <c r="J106" s="367"/>
      <c r="K106" s="367"/>
      <c r="L106" s="367"/>
      <c r="M106" s="367"/>
      <c r="N106" s="368"/>
    </row>
    <row r="107" spans="2:14" ht="24.4" customHeight="1" x14ac:dyDescent="0.2">
      <c r="B107" s="369" t="s">
        <v>222</v>
      </c>
      <c r="C107" s="7"/>
      <c r="D107" s="7"/>
      <c r="E107" s="1202" t="s">
        <v>556</v>
      </c>
      <c r="F107" s="1202"/>
      <c r="G107" s="1202"/>
      <c r="H107" s="1202"/>
      <c r="I107" s="1202"/>
      <c r="J107" s="1202"/>
      <c r="K107" s="1202"/>
      <c r="L107" s="7"/>
      <c r="M107" s="363">
        <v>174</v>
      </c>
      <c r="N107" s="306"/>
    </row>
    <row r="108" spans="2:14" ht="6.4" customHeight="1" x14ac:dyDescent="0.2">
      <c r="B108" s="370"/>
      <c r="C108" s="7"/>
      <c r="D108" s="7"/>
      <c r="E108" s="7"/>
      <c r="F108" s="7"/>
      <c r="G108" s="7"/>
      <c r="H108" s="7"/>
      <c r="I108" s="7"/>
      <c r="J108" s="7"/>
      <c r="K108" s="7"/>
      <c r="L108" s="7"/>
      <c r="M108" s="7"/>
      <c r="N108" s="306"/>
    </row>
    <row r="109" spans="2:14" ht="24.4" customHeight="1" x14ac:dyDescent="0.2">
      <c r="B109" s="369" t="s">
        <v>120</v>
      </c>
      <c r="C109" s="7"/>
      <c r="D109" s="7"/>
      <c r="E109" s="7"/>
      <c r="F109" s="7"/>
      <c r="G109" s="7"/>
      <c r="H109" s="7"/>
      <c r="I109" s="1136" t="s">
        <v>51</v>
      </c>
      <c r="J109" s="1136"/>
      <c r="K109" s="365">
        <v>40319</v>
      </c>
      <c r="L109" s="7"/>
      <c r="M109" s="364">
        <v>0.25</v>
      </c>
      <c r="N109" s="306"/>
    </row>
    <row r="110" spans="2:14" ht="5.65" customHeight="1" x14ac:dyDescent="0.2">
      <c r="B110" s="370"/>
      <c r="C110" s="7"/>
      <c r="D110" s="7"/>
      <c r="E110" s="7"/>
      <c r="F110" s="7"/>
      <c r="G110" s="7"/>
      <c r="H110" s="7"/>
      <c r="I110" s="7"/>
      <c r="J110" s="7"/>
      <c r="K110" s="7"/>
      <c r="L110" s="7"/>
      <c r="M110" s="7"/>
      <c r="N110" s="306"/>
    </row>
    <row r="111" spans="2:14" ht="24.4" customHeight="1" x14ac:dyDescent="0.2">
      <c r="B111" s="369" t="s">
        <v>557</v>
      </c>
      <c r="C111" s="7"/>
      <c r="D111" s="7"/>
      <c r="E111" s="7"/>
      <c r="F111" s="7"/>
      <c r="G111" s="7"/>
      <c r="H111" s="7"/>
      <c r="I111" s="7"/>
      <c r="J111" s="7"/>
      <c r="K111" s="7"/>
      <c r="L111" s="7"/>
      <c r="M111" s="372">
        <f>Data_SalaryInflationRate</f>
        <v>0.03</v>
      </c>
      <c r="N111" s="306"/>
    </row>
    <row r="112" spans="2:14" ht="13.5" thickBot="1" x14ac:dyDescent="0.25">
      <c r="B112" s="371"/>
      <c r="C112" s="308"/>
      <c r="D112" s="308"/>
      <c r="E112" s="308"/>
      <c r="F112" s="308"/>
      <c r="G112" s="308"/>
      <c r="H112" s="308"/>
      <c r="I112" s="308"/>
      <c r="J112" s="308"/>
      <c r="K112" s="308"/>
      <c r="L112" s="308"/>
      <c r="M112" s="308"/>
      <c r="N112" s="309"/>
    </row>
    <row r="113" spans="2:9" ht="14.25" thickTop="1" thickBot="1" x14ac:dyDescent="0.25"/>
    <row r="114" spans="2:9" ht="6.75" customHeight="1" thickTop="1" x14ac:dyDescent="0.2">
      <c r="B114" s="257"/>
      <c r="C114" s="258"/>
      <c r="D114" s="258"/>
      <c r="E114" s="258"/>
      <c r="F114" s="258"/>
      <c r="G114" s="258"/>
      <c r="H114" s="258"/>
      <c r="I114" s="259"/>
    </row>
    <row r="115" spans="2:9" ht="20.100000000000001" customHeight="1" x14ac:dyDescent="0.2">
      <c r="B115" s="260"/>
      <c r="C115" s="373" t="s">
        <v>456</v>
      </c>
      <c r="D115" s="373"/>
      <c r="E115" s="373"/>
      <c r="F115" s="1136" t="s">
        <v>51</v>
      </c>
      <c r="G115" s="1136"/>
      <c r="H115" s="365">
        <v>44622</v>
      </c>
      <c r="I115" s="261"/>
    </row>
    <row r="116" spans="2:9" ht="66.75" customHeight="1" x14ac:dyDescent="0.2">
      <c r="B116" s="260"/>
      <c r="C116" s="1137" t="s">
        <v>565</v>
      </c>
      <c r="D116" s="1137"/>
      <c r="E116" s="1137"/>
      <c r="F116" s="1137"/>
      <c r="G116" s="1138" t="s">
        <v>457</v>
      </c>
      <c r="H116" s="1138"/>
      <c r="I116" s="261"/>
    </row>
    <row r="117" spans="2:9" ht="14.1" customHeight="1" x14ac:dyDescent="0.2">
      <c r="B117" s="260"/>
      <c r="C117" s="29" t="str">
        <f>'Drop-Down_Options'!I8</f>
        <v>Academic Affairs</v>
      </c>
      <c r="D117" s="8"/>
      <c r="E117" s="8"/>
      <c r="F117" s="26"/>
      <c r="G117" s="1134">
        <f>'Drop-Down_Options'!J8</f>
        <v>15300</v>
      </c>
      <c r="H117" s="1135"/>
      <c r="I117" s="81"/>
    </row>
    <row r="118" spans="2:9" ht="14.1" customHeight="1" x14ac:dyDescent="0.2">
      <c r="B118" s="260"/>
      <c r="C118" s="29" t="str">
        <f>'Drop-Down_Options'!I9</f>
        <v>Architecture &amp; Urban Planning</v>
      </c>
      <c r="D118" s="8"/>
      <c r="E118" s="8"/>
      <c r="F118" s="26"/>
      <c r="G118" s="1134">
        <f>'Drop-Down_Options'!J9</f>
        <v>15300</v>
      </c>
      <c r="H118" s="1135"/>
      <c r="I118" s="81"/>
    </row>
    <row r="119" spans="2:9" ht="14.25" customHeight="1" x14ac:dyDescent="0.2">
      <c r="B119" s="260"/>
      <c r="C119" s="29" t="str">
        <f>'Drop-Down_Options'!I10</f>
        <v>Arts (Peck School)</v>
      </c>
      <c r="D119" s="8"/>
      <c r="E119" s="8"/>
      <c r="F119" s="26"/>
      <c r="G119" s="1134">
        <f>'Drop-Down_Options'!J10</f>
        <v>15300</v>
      </c>
      <c r="H119" s="1135"/>
      <c r="I119" s="81"/>
    </row>
    <row r="120" spans="2:9" ht="14.25" customHeight="1" x14ac:dyDescent="0.2">
      <c r="B120" s="260"/>
      <c r="C120" s="29" t="str">
        <f>'Drop-Down_Options'!I11</f>
        <v>Business (Lubar)</v>
      </c>
      <c r="D120" s="8"/>
      <c r="E120" s="8"/>
      <c r="F120" s="26"/>
      <c r="G120" s="1134">
        <f>'Drop-Down_Options'!J11</f>
        <v>15300</v>
      </c>
      <c r="H120" s="1135"/>
      <c r="I120" s="81"/>
    </row>
    <row r="121" spans="2:9" x14ac:dyDescent="0.2">
      <c r="B121" s="260"/>
      <c r="C121" s="29" t="str">
        <f>'Drop-Down_Options'!I12</f>
        <v>Continuing Education</v>
      </c>
      <c r="D121" s="8"/>
      <c r="E121" s="8"/>
      <c r="F121" s="26"/>
      <c r="G121" s="1134">
        <f>'Drop-Down_Options'!J12</f>
        <v>15300</v>
      </c>
      <c r="H121" s="1135"/>
      <c r="I121" s="81"/>
    </row>
    <row r="122" spans="2:9" x14ac:dyDescent="0.2">
      <c r="B122" s="260"/>
      <c r="C122" s="29" t="str">
        <f>'Drop-Down_Options'!I13</f>
        <v>Education</v>
      </c>
      <c r="D122" s="26"/>
      <c r="E122" s="26"/>
      <c r="F122" s="26"/>
      <c r="G122" s="1134">
        <f>'Drop-Down_Options'!J13</f>
        <v>17340</v>
      </c>
      <c r="H122" s="1135"/>
      <c r="I122" s="81"/>
    </row>
    <row r="123" spans="2:9" x14ac:dyDescent="0.2">
      <c r="B123" s="260"/>
      <c r="C123" s="29" t="str">
        <f>'Drop-Down_Options'!I14</f>
        <v>Engineering and Applied Sciences</v>
      </c>
      <c r="D123" s="26"/>
      <c r="E123" s="26"/>
      <c r="F123" s="26"/>
      <c r="G123" s="1134">
        <f>'Drop-Down_Options'!J14</f>
        <v>21420</v>
      </c>
      <c r="H123" s="1135"/>
      <c r="I123" s="81"/>
    </row>
    <row r="124" spans="2:9" x14ac:dyDescent="0.2">
      <c r="B124" s="260"/>
      <c r="C124" s="29" t="str">
        <f>'Drop-Down_Options'!I15</f>
        <v>Freshwater Sciences</v>
      </c>
      <c r="D124" s="26"/>
      <c r="E124" s="26"/>
      <c r="F124" s="26"/>
      <c r="G124" s="1134">
        <f>'Drop-Down_Options'!J15</f>
        <v>21420</v>
      </c>
      <c r="H124" s="1135"/>
      <c r="I124" s="81"/>
    </row>
    <row r="125" spans="2:9" x14ac:dyDescent="0.2">
      <c r="B125" s="260"/>
      <c r="C125" s="29" t="str">
        <f>'Drop-Down_Options'!I16</f>
        <v>Graduate School - other</v>
      </c>
      <c r="D125" s="26"/>
      <c r="E125" s="26"/>
      <c r="F125" s="26"/>
      <c r="G125" s="1134">
        <f>'Drop-Down_Options'!J16</f>
        <v>15300</v>
      </c>
      <c r="H125" s="1135"/>
      <c r="I125" s="81"/>
    </row>
    <row r="126" spans="2:9" x14ac:dyDescent="0.2">
      <c r="B126" s="260"/>
      <c r="C126" s="29" t="str">
        <f>'Drop-Down_Options'!I17</f>
        <v>Health Sciences</v>
      </c>
      <c r="D126" s="26"/>
      <c r="E126" s="26"/>
      <c r="F126" s="26"/>
      <c r="G126" s="1134">
        <f>'Drop-Down_Options'!J17</f>
        <v>17340</v>
      </c>
      <c r="H126" s="1135"/>
      <c r="I126" s="81"/>
    </row>
    <row r="127" spans="2:9" x14ac:dyDescent="0.2">
      <c r="B127" s="260"/>
      <c r="C127" s="29" t="str">
        <f>'Drop-Down_Options'!I18</f>
        <v>Information Studies</v>
      </c>
      <c r="D127" s="26"/>
      <c r="E127" s="26"/>
      <c r="F127" s="26"/>
      <c r="G127" s="1134">
        <f>'Drop-Down_Options'!J18</f>
        <v>17340</v>
      </c>
      <c r="H127" s="1135"/>
      <c r="I127" s="81"/>
    </row>
    <row r="128" spans="2:9" x14ac:dyDescent="0.2">
      <c r="B128" s="260"/>
      <c r="C128" s="29" t="str">
        <f>'Drop-Down_Options'!I19</f>
        <v>L&amp;S - African &amp; African Diaspora Studies</v>
      </c>
      <c r="D128" s="26"/>
      <c r="E128" s="26"/>
      <c r="F128" s="26"/>
      <c r="G128" s="1134">
        <f>'Drop-Down_Options'!J19</f>
        <v>15300</v>
      </c>
      <c r="H128" s="1135"/>
      <c r="I128" s="81"/>
    </row>
    <row r="129" spans="2:9" x14ac:dyDescent="0.2">
      <c r="B129" s="260"/>
      <c r="C129" s="29" t="str">
        <f>'Drop-Down_Options'!I20</f>
        <v>L&amp;S - Anthropology</v>
      </c>
      <c r="D129" s="26"/>
      <c r="E129" s="26"/>
      <c r="F129" s="26"/>
      <c r="G129" s="1134">
        <f>'Drop-Down_Options'!J20</f>
        <v>15300</v>
      </c>
      <c r="H129" s="1135"/>
      <c r="I129" s="81"/>
    </row>
    <row r="130" spans="2:9" x14ac:dyDescent="0.2">
      <c r="B130" s="260"/>
      <c r="C130" s="29" t="str">
        <f>'Drop-Down_Options'!I21</f>
        <v>L&amp;S - Art History</v>
      </c>
      <c r="D130" s="26"/>
      <c r="E130" s="26"/>
      <c r="F130" s="26"/>
      <c r="G130" s="1134">
        <f>'Drop-Down_Options'!J21</f>
        <v>15300</v>
      </c>
      <c r="H130" s="1135"/>
      <c r="I130" s="81"/>
    </row>
    <row r="131" spans="2:9" x14ac:dyDescent="0.2">
      <c r="B131" s="260"/>
      <c r="C131" s="29" t="str">
        <f>'Drop-Down_Options'!I22</f>
        <v>L&amp;S - Biosciences</v>
      </c>
      <c r="D131" s="26"/>
      <c r="E131" s="26"/>
      <c r="F131" s="26"/>
      <c r="G131" s="1134">
        <f>'Drop-Down_Options'!J22</f>
        <v>21420</v>
      </c>
      <c r="H131" s="1135"/>
      <c r="I131" s="81"/>
    </row>
    <row r="132" spans="2:9" x14ac:dyDescent="0.2">
      <c r="B132" s="260"/>
      <c r="C132" s="29" t="str">
        <f>'Drop-Down_Options'!I23</f>
        <v>L&amp;S - Chemistry</v>
      </c>
      <c r="D132" s="26"/>
      <c r="E132" s="26"/>
      <c r="F132" s="26"/>
      <c r="G132" s="1134">
        <f>'Drop-Down_Options'!J23</f>
        <v>21420</v>
      </c>
      <c r="H132" s="1135"/>
      <c r="I132" s="81"/>
    </row>
    <row r="133" spans="2:9" x14ac:dyDescent="0.2">
      <c r="B133" s="260"/>
      <c r="C133" s="29" t="str">
        <f>'Drop-Down_Options'!I24</f>
        <v>L&amp;S - Communication</v>
      </c>
      <c r="D133" s="26"/>
      <c r="E133" s="26"/>
      <c r="F133" s="26"/>
      <c r="G133" s="1134">
        <f>'Drop-Down_Options'!J24</f>
        <v>15300</v>
      </c>
      <c r="H133" s="1135"/>
      <c r="I133" s="81"/>
    </row>
    <row r="134" spans="2:9" x14ac:dyDescent="0.2">
      <c r="B134" s="260"/>
      <c r="C134" s="29" t="str">
        <f>'Drop-Down_Options'!I25</f>
        <v>L&amp;S - Culture &amp; Communities</v>
      </c>
      <c r="D134" s="26"/>
      <c r="E134" s="26"/>
      <c r="F134" s="26"/>
      <c r="G134" s="1134">
        <f>'Drop-Down_Options'!J25</f>
        <v>15300</v>
      </c>
      <c r="H134" s="1135"/>
      <c r="I134" s="81"/>
    </row>
    <row r="135" spans="2:9" x14ac:dyDescent="0.2">
      <c r="B135" s="260"/>
      <c r="C135" s="29" t="str">
        <f>'Drop-Down_Options'!I26</f>
        <v>L&amp;S - Economics</v>
      </c>
      <c r="D135" s="26"/>
      <c r="E135" s="26"/>
      <c r="F135" s="26"/>
      <c r="G135" s="1134">
        <f>'Drop-Down_Options'!J26</f>
        <v>15300</v>
      </c>
      <c r="H135" s="1135"/>
      <c r="I135" s="81"/>
    </row>
    <row r="136" spans="2:9" x14ac:dyDescent="0.2">
      <c r="B136" s="260"/>
      <c r="C136" s="29" t="str">
        <f>'Drop-Down_Options'!I27</f>
        <v>L&amp;S - English</v>
      </c>
      <c r="D136" s="26"/>
      <c r="E136" s="26"/>
      <c r="F136" s="26"/>
      <c r="G136" s="1134">
        <f>'Drop-Down_Options'!J27</f>
        <v>15300</v>
      </c>
      <c r="H136" s="1135"/>
      <c r="I136" s="81"/>
    </row>
    <row r="137" spans="2:9" x14ac:dyDescent="0.2">
      <c r="B137" s="260"/>
      <c r="C137" s="29" t="str">
        <f>'Drop-Down_Options'!I28</f>
        <v>L&amp;S - Field Station</v>
      </c>
      <c r="D137" s="26"/>
      <c r="E137" s="26"/>
      <c r="F137" s="26"/>
      <c r="G137" s="1134">
        <f>'Drop-Down_Options'!J28</f>
        <v>17340</v>
      </c>
      <c r="H137" s="1135"/>
      <c r="I137" s="81"/>
    </row>
    <row r="138" spans="2:9" x14ac:dyDescent="0.2">
      <c r="B138" s="260"/>
      <c r="C138" s="29" t="str">
        <f>'Drop-Down_Options'!I29</f>
        <v>L&amp;S - Foreign Languages &amp; Literature</v>
      </c>
      <c r="D138" s="26"/>
      <c r="E138" s="26"/>
      <c r="F138" s="26"/>
      <c r="G138" s="1134">
        <f>'Drop-Down_Options'!J29</f>
        <v>15300</v>
      </c>
      <c r="H138" s="1135"/>
      <c r="I138" s="81"/>
    </row>
    <row r="139" spans="2:9" x14ac:dyDescent="0.2">
      <c r="B139" s="260"/>
      <c r="C139" s="29" t="str">
        <f>'Drop-Down_Options'!I30</f>
        <v>L&amp;S - Forensic Studies</v>
      </c>
      <c r="D139" s="26"/>
      <c r="E139" s="26"/>
      <c r="F139" s="26"/>
      <c r="G139" s="1134">
        <f>'Drop-Down_Options'!J30</f>
        <v>15300</v>
      </c>
      <c r="H139" s="1135"/>
      <c r="I139" s="81"/>
    </row>
    <row r="140" spans="2:9" x14ac:dyDescent="0.2">
      <c r="B140" s="260"/>
      <c r="C140" s="29" t="str">
        <f>'Drop-Down_Options'!I31</f>
        <v>L&amp;S - French, Italian, Comp Lit</v>
      </c>
      <c r="D140" s="26"/>
      <c r="E140" s="26"/>
      <c r="F140" s="26"/>
      <c r="G140" s="1134">
        <f>'Drop-Down_Options'!J31</f>
        <v>15300</v>
      </c>
      <c r="H140" s="1135"/>
      <c r="I140" s="81"/>
    </row>
    <row r="141" spans="2:9" x14ac:dyDescent="0.2">
      <c r="B141" s="260"/>
      <c r="C141" s="29" t="str">
        <f>'Drop-Down_Options'!I32</f>
        <v>L&amp;S - Geography</v>
      </c>
      <c r="D141" s="26"/>
      <c r="E141" s="26"/>
      <c r="F141" s="26"/>
      <c r="G141" s="1134">
        <f>'Drop-Down_Options'!J32</f>
        <v>17340</v>
      </c>
      <c r="H141" s="1135"/>
      <c r="I141" s="81"/>
    </row>
    <row r="142" spans="2:9" x14ac:dyDescent="0.2">
      <c r="B142" s="260"/>
      <c r="C142" s="29" t="str">
        <f>'Drop-Down_Options'!I33</f>
        <v>L&amp;S - Geosciences</v>
      </c>
      <c r="D142" s="26"/>
      <c r="E142" s="26"/>
      <c r="F142" s="26"/>
      <c r="G142" s="1134">
        <f>'Drop-Down_Options'!J33</f>
        <v>21420</v>
      </c>
      <c r="H142" s="1135"/>
      <c r="I142" s="81"/>
    </row>
    <row r="143" spans="2:9" x14ac:dyDescent="0.2">
      <c r="B143" s="260"/>
      <c r="C143" s="29" t="str">
        <f>'Drop-Down_Options'!I34</f>
        <v>L&amp;S - History</v>
      </c>
      <c r="D143" s="26"/>
      <c r="E143" s="26"/>
      <c r="F143" s="26"/>
      <c r="G143" s="1134">
        <f>'Drop-Down_Options'!J34</f>
        <v>15300</v>
      </c>
      <c r="H143" s="1135"/>
      <c r="I143" s="81"/>
    </row>
    <row r="144" spans="2:9" x14ac:dyDescent="0.2">
      <c r="B144" s="260"/>
      <c r="C144" s="29" t="str">
        <f>'Drop-Down_Options'!I35</f>
        <v>L&amp;S - Institute for Global Studies</v>
      </c>
      <c r="D144" s="26"/>
      <c r="E144" s="26"/>
      <c r="F144" s="26"/>
      <c r="G144" s="1134">
        <f>'Drop-Down_Options'!J35</f>
        <v>15300</v>
      </c>
      <c r="H144" s="1135"/>
      <c r="I144" s="81"/>
    </row>
    <row r="145" spans="2:9" x14ac:dyDescent="0.2">
      <c r="B145" s="260"/>
      <c r="C145" s="29" t="str">
        <f>'Drop-Down_Options'!I36</f>
        <v>L&amp;S - International Studies</v>
      </c>
      <c r="D145" s="26"/>
      <c r="E145" s="26"/>
      <c r="F145" s="26"/>
      <c r="G145" s="1134">
        <f>'Drop-Down_Options'!J36</f>
        <v>15300</v>
      </c>
      <c r="H145" s="1135"/>
      <c r="I145" s="81"/>
    </row>
    <row r="146" spans="2:9" x14ac:dyDescent="0.2">
      <c r="B146" s="260"/>
      <c r="C146" s="29" t="str">
        <f>'Drop-Down_Options'!I37</f>
        <v>L&amp;S - Journalism &amp; Mass Comm</v>
      </c>
      <c r="D146" s="26"/>
      <c r="E146" s="26"/>
      <c r="F146" s="26"/>
      <c r="G146" s="1134">
        <f>'Drop-Down_Options'!J37</f>
        <v>15300</v>
      </c>
      <c r="H146" s="1135"/>
      <c r="I146" s="81"/>
    </row>
    <row r="147" spans="2:9" x14ac:dyDescent="0.2">
      <c r="B147" s="260"/>
      <c r="C147" s="29" t="str">
        <f>'Drop-Down_Options'!I38</f>
        <v>L&amp;S - Languages Res, Ctr</v>
      </c>
      <c r="D147" s="26"/>
      <c r="E147" s="26"/>
      <c r="F147" s="26"/>
      <c r="G147" s="1134">
        <f>'Drop-Down_Options'!J38</f>
        <v>15300</v>
      </c>
      <c r="H147" s="1135"/>
      <c r="I147" s="81"/>
    </row>
    <row r="148" spans="2:9" x14ac:dyDescent="0.2">
      <c r="B148" s="260"/>
      <c r="C148" s="29" t="str">
        <f>'Drop-Down_Options'!I39</f>
        <v>L&amp;S - Linguistics</v>
      </c>
      <c r="D148" s="26"/>
      <c r="E148" s="26"/>
      <c r="F148" s="26"/>
      <c r="G148" s="1134">
        <f>'Drop-Down_Options'!J39</f>
        <v>15300</v>
      </c>
      <c r="H148" s="1135"/>
      <c r="I148" s="81"/>
    </row>
    <row r="149" spans="2:9" x14ac:dyDescent="0.2">
      <c r="B149" s="260"/>
      <c r="C149" s="29" t="str">
        <f>'Drop-Down_Options'!I40</f>
        <v>L&amp;S - MALLT</v>
      </c>
      <c r="D149" s="26"/>
      <c r="E149" s="26"/>
      <c r="F149" s="26"/>
      <c r="G149" s="1134">
        <f>'Drop-Down_Options'!J40</f>
        <v>15300</v>
      </c>
      <c r="H149" s="1135"/>
      <c r="I149" s="81"/>
    </row>
    <row r="150" spans="2:9" x14ac:dyDescent="0.2">
      <c r="B150" s="260"/>
      <c r="C150" s="29" t="str">
        <f>'Drop-Down_Options'!I41</f>
        <v>L&amp;S - Mathematical Sciences</v>
      </c>
      <c r="D150" s="26"/>
      <c r="E150" s="26"/>
      <c r="F150" s="26"/>
      <c r="G150" s="1134">
        <f>'Drop-Down_Options'!J41</f>
        <v>21420</v>
      </c>
      <c r="H150" s="1135"/>
      <c r="I150" s="81"/>
    </row>
    <row r="151" spans="2:9" x14ac:dyDescent="0.2">
      <c r="B151" s="260"/>
      <c r="C151" s="29" t="str">
        <f>'Drop-Down_Options'!I42</f>
        <v>L&amp;S - Philosophy</v>
      </c>
      <c r="D151" s="26"/>
      <c r="E151" s="26"/>
      <c r="F151" s="26"/>
      <c r="G151" s="1134">
        <f>'Drop-Down_Options'!J42</f>
        <v>15300</v>
      </c>
      <c r="H151" s="1135"/>
      <c r="I151" s="81"/>
    </row>
    <row r="152" spans="2:9" x14ac:dyDescent="0.2">
      <c r="B152" s="260"/>
      <c r="C152" s="29" t="str">
        <f>'Drop-Down_Options'!I43</f>
        <v>L&amp;S - Physics</v>
      </c>
      <c r="D152" s="26"/>
      <c r="E152" s="26"/>
      <c r="F152" s="26"/>
      <c r="G152" s="1134">
        <f>'Drop-Down_Options'!J43</f>
        <v>21420</v>
      </c>
      <c r="H152" s="1135"/>
      <c r="I152" s="81"/>
    </row>
    <row r="153" spans="2:9" x14ac:dyDescent="0.2">
      <c r="B153" s="260"/>
      <c r="C153" s="29" t="str">
        <f>'Drop-Down_Options'!I44</f>
        <v>L&amp;S - Political Science</v>
      </c>
      <c r="D153" s="26"/>
      <c r="E153" s="26"/>
      <c r="F153" s="26"/>
      <c r="G153" s="1134">
        <f>'Drop-Down_Options'!J44</f>
        <v>15300</v>
      </c>
      <c r="H153" s="1135"/>
      <c r="I153" s="81"/>
    </row>
    <row r="154" spans="2:9" x14ac:dyDescent="0.2">
      <c r="B154" s="260"/>
      <c r="C154" s="29" t="str">
        <f>'Drop-Down_Options'!I45</f>
        <v>L&amp;S - Psychology</v>
      </c>
      <c r="D154" s="26"/>
      <c r="E154" s="26"/>
      <c r="F154" s="26"/>
      <c r="G154" s="1134">
        <f>'Drop-Down_Options'!J45</f>
        <v>21420</v>
      </c>
      <c r="H154" s="1135"/>
      <c r="I154" s="81"/>
    </row>
    <row r="155" spans="2:9" x14ac:dyDescent="0.2">
      <c r="B155" s="260"/>
      <c r="C155" s="29" t="str">
        <f>'Drop-Down_Options'!I46</f>
        <v>L&amp;S - Sociology</v>
      </c>
      <c r="D155" s="26"/>
      <c r="E155" s="26"/>
      <c r="F155" s="26"/>
      <c r="G155" s="1134">
        <f>'Drop-Down_Options'!J46</f>
        <v>15300</v>
      </c>
      <c r="H155" s="1135"/>
      <c r="I155" s="81"/>
    </row>
    <row r="156" spans="2:9" x14ac:dyDescent="0.2">
      <c r="B156" s="260"/>
      <c r="C156" s="29" t="str">
        <f>'Drop-Down_Options'!I47</f>
        <v>L&amp;S - Spanish &amp; Portuguese</v>
      </c>
      <c r="D156" s="26"/>
      <c r="E156" s="26"/>
      <c r="F156" s="26"/>
      <c r="G156" s="1134">
        <f>'Drop-Down_Options'!J47</f>
        <v>15300</v>
      </c>
      <c r="H156" s="1135"/>
      <c r="I156" s="81"/>
    </row>
    <row r="157" spans="2:9" x14ac:dyDescent="0.2">
      <c r="B157" s="260"/>
      <c r="C157" s="29" t="str">
        <f>'Drop-Down_Options'!I48</f>
        <v>L&amp;S - 21st Century Studies, Center for</v>
      </c>
      <c r="D157" s="26"/>
      <c r="E157" s="26"/>
      <c r="F157" s="26"/>
      <c r="G157" s="1134">
        <f>'Drop-Down_Options'!J48</f>
        <v>15300</v>
      </c>
      <c r="H157" s="1135"/>
      <c r="I157" s="81"/>
    </row>
    <row r="158" spans="2:9" x14ac:dyDescent="0.2">
      <c r="B158" s="260"/>
      <c r="C158" s="29" t="str">
        <f>'Drop-Down_Options'!I49</f>
        <v>L&amp;S - Urban Studies</v>
      </c>
      <c r="D158" s="26"/>
      <c r="E158" s="26"/>
      <c r="F158" s="26"/>
      <c r="G158" s="1134">
        <f>'Drop-Down_Options'!J49</f>
        <v>15300</v>
      </c>
      <c r="H158" s="1135"/>
      <c r="I158" s="81"/>
    </row>
    <row r="159" spans="2:9" x14ac:dyDescent="0.2">
      <c r="B159" s="260"/>
      <c r="C159" s="29" t="str">
        <f>'Drop-Down_Options'!I50</f>
        <v>L&amp;S - Women's Studies</v>
      </c>
      <c r="D159" s="26"/>
      <c r="E159" s="26"/>
      <c r="F159" s="26"/>
      <c r="G159" s="1134">
        <f>'Drop-Down_Options'!J50</f>
        <v>15300</v>
      </c>
      <c r="H159" s="1135"/>
      <c r="I159" s="81"/>
    </row>
    <row r="160" spans="2:9" x14ac:dyDescent="0.2">
      <c r="B160" s="260"/>
      <c r="C160" s="29" t="str">
        <f>'Drop-Down_Options'!I51</f>
        <v>Nursing</v>
      </c>
      <c r="D160" s="26"/>
      <c r="E160" s="26"/>
      <c r="F160" s="26"/>
      <c r="G160" s="1134">
        <f>'Drop-Down_Options'!J51</f>
        <v>15300</v>
      </c>
      <c r="H160" s="1135"/>
      <c r="I160" s="81"/>
    </row>
    <row r="161" spans="2:9" x14ac:dyDescent="0.2">
      <c r="B161" s="260"/>
      <c r="C161" s="29" t="str">
        <f>'Drop-Down_Options'!I52</f>
        <v>Public Health (Zilber)</v>
      </c>
      <c r="D161" s="26"/>
      <c r="E161" s="26"/>
      <c r="F161" s="26"/>
      <c r="G161" s="1134">
        <f>'Drop-Down_Options'!J52</f>
        <v>17340</v>
      </c>
      <c r="H161" s="1135"/>
      <c r="I161" s="81"/>
    </row>
    <row r="162" spans="2:9" x14ac:dyDescent="0.2">
      <c r="B162" s="260"/>
      <c r="C162" s="29" t="str">
        <f>'Drop-Down_Options'!I53</f>
        <v>Social Welfare (Bader)</v>
      </c>
      <c r="D162" s="26"/>
      <c r="E162" s="26"/>
      <c r="F162" s="26"/>
      <c r="G162" s="1134">
        <f>'Drop-Down_Options'!J53</f>
        <v>17340</v>
      </c>
      <c r="H162" s="1135"/>
      <c r="I162" s="81"/>
    </row>
    <row r="163" spans="2:9" x14ac:dyDescent="0.2">
      <c r="B163" s="260"/>
      <c r="C163" s="29" t="str">
        <f>'Drop-Down_Options'!I54</f>
        <v>Other / Not Listed</v>
      </c>
      <c r="D163" s="26"/>
      <c r="E163" s="26"/>
      <c r="F163" s="26"/>
      <c r="G163" s="1134">
        <f>'Drop-Down_Options'!J54</f>
        <v>15300</v>
      </c>
      <c r="H163" s="1135"/>
      <c r="I163" s="81"/>
    </row>
    <row r="164" spans="2:9" x14ac:dyDescent="0.2">
      <c r="B164" s="260"/>
      <c r="C164" s="29"/>
      <c r="D164" s="26"/>
      <c r="E164" s="26"/>
      <c r="F164" s="26"/>
      <c r="G164" s="26"/>
      <c r="H164" s="26"/>
      <c r="I164" s="81"/>
    </row>
    <row r="165" spans="2:9" ht="13.5" thickBot="1" x14ac:dyDescent="0.25">
      <c r="B165" s="262"/>
      <c r="C165" s="82"/>
      <c r="D165" s="82"/>
      <c r="E165" s="82"/>
      <c r="F165" s="82"/>
      <c r="G165" s="82"/>
      <c r="H165" s="82"/>
      <c r="I165" s="83"/>
    </row>
    <row r="166" spans="2:9" ht="13.5" thickTop="1" x14ac:dyDescent="0.2"/>
  </sheetData>
  <sheetProtection algorithmName="SHA-512" hashValue="2V7PJIO0/NTn7aQj6yRVMk/86snh6F2LW0e0+Hzw3XSElXjrnB5DQkkflWguY/5SQSmhX/BSGLXmYjQBGelwuQ==" saltValue="TtfOgFEnCaZ9aKstN9+3cQ==" spinCount="100000" sheet="1" selectLockedCells="1"/>
  <mergeCells count="118">
    <mergeCell ref="F115:G115"/>
    <mergeCell ref="H22:K22"/>
    <mergeCell ref="H23:K23"/>
    <mergeCell ref="H24:K24"/>
    <mergeCell ref="C22:F22"/>
    <mergeCell ref="C23:F23"/>
    <mergeCell ref="C24:F24"/>
    <mergeCell ref="B69:N69"/>
    <mergeCell ref="B95:N95"/>
    <mergeCell ref="B54:N54"/>
    <mergeCell ref="I55:J55"/>
    <mergeCell ref="C59:D59"/>
    <mergeCell ref="L57:M57"/>
    <mergeCell ref="F57:G57"/>
    <mergeCell ref="C57:D57"/>
    <mergeCell ref="I58:K58"/>
    <mergeCell ref="L58:M58"/>
    <mergeCell ref="K55:L55"/>
    <mergeCell ref="I57:K57"/>
    <mergeCell ref="B56:N56"/>
    <mergeCell ref="B38:N38"/>
    <mergeCell ref="B40:N40"/>
    <mergeCell ref="H41:J41"/>
    <mergeCell ref="B67:N67"/>
    <mergeCell ref="C71:E71"/>
    <mergeCell ref="F71:G71"/>
    <mergeCell ref="H71:J71"/>
    <mergeCell ref="K42:L42"/>
    <mergeCell ref="E107:K107"/>
    <mergeCell ref="C73:E73"/>
    <mergeCell ref="K68:L68"/>
    <mergeCell ref="I70:J70"/>
    <mergeCell ref="K41:L41"/>
    <mergeCell ref="I39:J39"/>
    <mergeCell ref="K70:L70"/>
    <mergeCell ref="K39:L39"/>
    <mergeCell ref="B2:N2"/>
    <mergeCell ref="B19:N19"/>
    <mergeCell ref="I20:J20"/>
    <mergeCell ref="K20:L20"/>
    <mergeCell ref="B21:N21"/>
    <mergeCell ref="B10:F10"/>
    <mergeCell ref="H15:K15"/>
    <mergeCell ref="D15:E15"/>
    <mergeCell ref="D13:E13"/>
    <mergeCell ref="H10:N10"/>
    <mergeCell ref="D12:E12"/>
    <mergeCell ref="D14:E14"/>
    <mergeCell ref="H11:K13"/>
    <mergeCell ref="L11:L13"/>
    <mergeCell ref="I109:J109"/>
    <mergeCell ref="C116:F116"/>
    <mergeCell ref="G116:H116"/>
    <mergeCell ref="G118:H118"/>
    <mergeCell ref="G119:H119"/>
    <mergeCell ref="H42:J42"/>
    <mergeCell ref="G117:H117"/>
    <mergeCell ref="K72:L72"/>
    <mergeCell ref="F72:G72"/>
    <mergeCell ref="H72:J72"/>
    <mergeCell ref="K71:L71"/>
    <mergeCell ref="I68:J68"/>
    <mergeCell ref="H78:M81"/>
    <mergeCell ref="K94:L94"/>
    <mergeCell ref="H96:J96"/>
    <mergeCell ref="K96:L96"/>
    <mergeCell ref="H97:J97"/>
    <mergeCell ref="K97:L97"/>
    <mergeCell ref="K73:L73"/>
    <mergeCell ref="F73:G73"/>
    <mergeCell ref="H73:J73"/>
    <mergeCell ref="C72:E72"/>
    <mergeCell ref="B93:N93"/>
    <mergeCell ref="I94:J94"/>
    <mergeCell ref="G161:H161"/>
    <mergeCell ref="G162:H162"/>
    <mergeCell ref="G163:H163"/>
    <mergeCell ref="G155:H155"/>
    <mergeCell ref="G156:H156"/>
    <mergeCell ref="G157:H157"/>
    <mergeCell ref="G158:H158"/>
    <mergeCell ref="G159:H159"/>
    <mergeCell ref="G160:H160"/>
    <mergeCell ref="G152:H152"/>
    <mergeCell ref="G153:H153"/>
    <mergeCell ref="G154:H154"/>
    <mergeCell ref="G144:H144"/>
    <mergeCell ref="G145:H145"/>
    <mergeCell ref="G146:H146"/>
    <mergeCell ref="G147:H147"/>
    <mergeCell ref="G148:H148"/>
    <mergeCell ref="G149:H149"/>
    <mergeCell ref="G150:H150"/>
    <mergeCell ref="G151:H151"/>
    <mergeCell ref="G140:H140"/>
    <mergeCell ref="G141:H141"/>
    <mergeCell ref="G142:H142"/>
    <mergeCell ref="G143:H143"/>
    <mergeCell ref="G132:H132"/>
    <mergeCell ref="G133:H133"/>
    <mergeCell ref="G134:H134"/>
    <mergeCell ref="G135:H135"/>
    <mergeCell ref="G136:H136"/>
    <mergeCell ref="G137:H137"/>
    <mergeCell ref="G138:H138"/>
    <mergeCell ref="G139:H139"/>
    <mergeCell ref="G129:H129"/>
    <mergeCell ref="G130:H130"/>
    <mergeCell ref="G131:H131"/>
    <mergeCell ref="G120:H120"/>
    <mergeCell ref="G121:H121"/>
    <mergeCell ref="G122:H122"/>
    <mergeCell ref="G123:H123"/>
    <mergeCell ref="G124:H124"/>
    <mergeCell ref="G125:H125"/>
    <mergeCell ref="G126:H126"/>
    <mergeCell ref="G127:H127"/>
    <mergeCell ref="G128:H128"/>
  </mergeCells>
  <conditionalFormatting sqref="H29:H34">
    <cfRule type="expression" dxfId="12" priority="13">
      <formula>$L$11</formula>
    </cfRule>
  </conditionalFormatting>
  <conditionalFormatting sqref="F73:G73">
    <cfRule type="expression" dxfId="11" priority="12">
      <formula>$L$11</formula>
    </cfRule>
  </conditionalFormatting>
  <conditionalFormatting sqref="K73:L73">
    <cfRule type="expression" dxfId="10" priority="11">
      <formula>$L$11</formula>
    </cfRule>
  </conditionalFormatting>
  <conditionalFormatting sqref="H82:H89">
    <cfRule type="expression" dxfId="9" priority="10">
      <formula>$L$11</formula>
    </cfRule>
  </conditionalFormatting>
  <conditionalFormatting sqref="K97:L97">
    <cfRule type="expression" dxfId="8" priority="9">
      <formula>$L$11</formula>
    </cfRule>
  </conditionalFormatting>
  <conditionalFormatting sqref="H102:H103">
    <cfRule type="expression" dxfId="7" priority="8">
      <formula>$L$11</formula>
    </cfRule>
  </conditionalFormatting>
  <conditionalFormatting sqref="L58:M58">
    <cfRule type="expression" dxfId="6" priority="7">
      <formula>$L$11</formula>
    </cfRule>
  </conditionalFormatting>
  <conditionalFormatting sqref="H63">
    <cfRule type="expression" dxfId="5" priority="6">
      <formula>$L$11</formula>
    </cfRule>
  </conditionalFormatting>
  <conditionalFormatting sqref="K42:L42">
    <cfRule type="expression" dxfId="4" priority="5">
      <formula>$L$11</formula>
    </cfRule>
  </conditionalFormatting>
  <conditionalFormatting sqref="H47:H50">
    <cfRule type="expression" dxfId="3" priority="4">
      <formula>$L$11</formula>
    </cfRule>
  </conditionalFormatting>
  <conditionalFormatting sqref="L22:L24">
    <cfRule type="expression" dxfId="2" priority="3">
      <formula>$L$11</formula>
    </cfRule>
  </conditionalFormatting>
  <conditionalFormatting sqref="L11:L13">
    <cfRule type="expression" dxfId="1" priority="2">
      <formula>$L$11</formula>
    </cfRule>
  </conditionalFormatting>
  <conditionalFormatting sqref="L15">
    <cfRule type="expression" dxfId="0" priority="1">
      <formula>$L$11</formula>
    </cfRule>
  </conditionalFormatting>
  <printOptions horizontalCentered="1"/>
  <pageMargins left="0.75" right="0.75" top="1" bottom="1" header="0.5" footer="0.5"/>
  <pageSetup scale="72" fitToHeight="3" orientation="portrait" r:id="rId1"/>
  <headerFooter alignWithMargins="0"/>
  <ignoredErrors>
    <ignoredError sqref="M111"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S90"/>
  <sheetViews>
    <sheetView showRowColHeaders="0" zoomScale="130" zoomScaleNormal="130" workbookViewId="0">
      <selection activeCell="B2" sqref="B2"/>
    </sheetView>
  </sheetViews>
  <sheetFormatPr defaultRowHeight="12.75" x14ac:dyDescent="0.2"/>
  <cols>
    <col min="1" max="1" width="13.28515625" style="254" customWidth="1"/>
    <col min="2" max="2" width="174.28515625" style="131" bestFit="1" customWidth="1"/>
  </cols>
  <sheetData>
    <row r="1" spans="1:19" ht="3" customHeight="1" x14ac:dyDescent="0.2"/>
    <row r="2" spans="1:19" s="134" customFormat="1" ht="15.75" x14ac:dyDescent="0.25">
      <c r="A2" s="255" t="s">
        <v>292</v>
      </c>
      <c r="B2" s="132" t="s">
        <v>293</v>
      </c>
      <c r="C2" s="133"/>
      <c r="D2" s="133"/>
      <c r="E2" s="133"/>
      <c r="F2" s="133"/>
      <c r="G2" s="133"/>
      <c r="H2" s="133"/>
      <c r="I2" s="133"/>
      <c r="J2" s="133"/>
      <c r="K2" s="133"/>
      <c r="L2" s="133"/>
      <c r="M2" s="133"/>
      <c r="N2" s="133"/>
      <c r="O2" s="133"/>
      <c r="P2" s="133"/>
      <c r="Q2" s="133"/>
      <c r="R2" s="133"/>
      <c r="S2" s="133"/>
    </row>
    <row r="3" spans="1:19" x14ac:dyDescent="0.2">
      <c r="A3" s="256">
        <v>39810</v>
      </c>
      <c r="B3" s="135" t="s">
        <v>294</v>
      </c>
    </row>
    <row r="4" spans="1:19" x14ac:dyDescent="0.2">
      <c r="A4" s="256">
        <v>39810</v>
      </c>
      <c r="B4" s="135" t="s">
        <v>295</v>
      </c>
    </row>
    <row r="5" spans="1:19" x14ac:dyDescent="0.2">
      <c r="A5" s="256">
        <v>39821</v>
      </c>
      <c r="B5" s="135" t="s">
        <v>296</v>
      </c>
    </row>
    <row r="6" spans="1:19" x14ac:dyDescent="0.2">
      <c r="A6" s="256">
        <v>39821</v>
      </c>
      <c r="B6" s="135" t="s">
        <v>297</v>
      </c>
    </row>
    <row r="7" spans="1:19" x14ac:dyDescent="0.2">
      <c r="A7" s="256">
        <v>39821</v>
      </c>
      <c r="B7" s="135" t="s">
        <v>298</v>
      </c>
    </row>
    <row r="8" spans="1:19" x14ac:dyDescent="0.2">
      <c r="A8" s="256">
        <v>39821</v>
      </c>
      <c r="B8" s="135" t="s">
        <v>299</v>
      </c>
    </row>
    <row r="9" spans="1:19" x14ac:dyDescent="0.2">
      <c r="A9" s="256">
        <v>39821</v>
      </c>
      <c r="B9" s="135" t="s">
        <v>300</v>
      </c>
    </row>
    <row r="10" spans="1:19" x14ac:dyDescent="0.2">
      <c r="A10" s="256">
        <v>39848</v>
      </c>
      <c r="B10" s="135" t="s">
        <v>301</v>
      </c>
    </row>
    <row r="11" spans="1:19" x14ac:dyDescent="0.2">
      <c r="A11" s="256">
        <v>39848</v>
      </c>
      <c r="B11" s="135" t="s">
        <v>302</v>
      </c>
    </row>
    <row r="12" spans="1:19" x14ac:dyDescent="0.2">
      <c r="A12" s="256">
        <v>39848</v>
      </c>
      <c r="B12" s="135" t="s">
        <v>303</v>
      </c>
    </row>
    <row r="13" spans="1:19" x14ac:dyDescent="0.2">
      <c r="A13" s="256">
        <v>39848</v>
      </c>
      <c r="B13" s="135" t="s">
        <v>304</v>
      </c>
    </row>
    <row r="14" spans="1:19" x14ac:dyDescent="0.2">
      <c r="A14" s="256">
        <v>39848</v>
      </c>
      <c r="B14" s="135" t="s">
        <v>305</v>
      </c>
    </row>
    <row r="15" spans="1:19" x14ac:dyDescent="0.2">
      <c r="A15" s="256">
        <v>39864</v>
      </c>
      <c r="B15" s="135" t="s">
        <v>306</v>
      </c>
    </row>
    <row r="16" spans="1:19" x14ac:dyDescent="0.2">
      <c r="A16" s="256">
        <v>39883</v>
      </c>
      <c r="B16" s="135" t="s">
        <v>307</v>
      </c>
    </row>
    <row r="17" spans="1:2" x14ac:dyDescent="0.2">
      <c r="A17" s="256">
        <v>39883</v>
      </c>
      <c r="B17" s="135" t="s">
        <v>308</v>
      </c>
    </row>
    <row r="18" spans="1:2" x14ac:dyDescent="0.2">
      <c r="A18" s="256">
        <v>39883</v>
      </c>
      <c r="B18" s="135" t="s">
        <v>309</v>
      </c>
    </row>
    <row r="19" spans="1:2" x14ac:dyDescent="0.2">
      <c r="A19" s="256">
        <v>39883</v>
      </c>
      <c r="B19" s="135" t="s">
        <v>310</v>
      </c>
    </row>
    <row r="20" spans="1:2" x14ac:dyDescent="0.2">
      <c r="A20" s="256">
        <v>39883</v>
      </c>
      <c r="B20" s="135" t="s">
        <v>311</v>
      </c>
    </row>
    <row r="21" spans="1:2" x14ac:dyDescent="0.2">
      <c r="A21" s="256">
        <v>39883</v>
      </c>
      <c r="B21" s="135" t="s">
        <v>312</v>
      </c>
    </row>
    <row r="22" spans="1:2" x14ac:dyDescent="0.2">
      <c r="A22" s="256">
        <v>39883</v>
      </c>
      <c r="B22" s="135" t="s">
        <v>313</v>
      </c>
    </row>
    <row r="23" spans="1:2" x14ac:dyDescent="0.2">
      <c r="A23" s="256">
        <v>39883</v>
      </c>
      <c r="B23" s="135" t="s">
        <v>314</v>
      </c>
    </row>
    <row r="24" spans="1:2" x14ac:dyDescent="0.2">
      <c r="A24" s="256">
        <v>39904</v>
      </c>
      <c r="B24" s="135" t="s">
        <v>315</v>
      </c>
    </row>
    <row r="25" spans="1:2" x14ac:dyDescent="0.2">
      <c r="A25" s="256">
        <v>39904</v>
      </c>
      <c r="B25" s="135" t="s">
        <v>316</v>
      </c>
    </row>
    <row r="26" spans="1:2" x14ac:dyDescent="0.2">
      <c r="A26" s="254">
        <v>39905</v>
      </c>
      <c r="B26" s="131" t="s">
        <v>317</v>
      </c>
    </row>
    <row r="27" spans="1:2" x14ac:dyDescent="0.2">
      <c r="A27" s="1212">
        <v>39916</v>
      </c>
      <c r="B27" s="131" t="s">
        <v>318</v>
      </c>
    </row>
    <row r="28" spans="1:2" x14ac:dyDescent="0.2">
      <c r="A28" s="1212"/>
      <c r="B28" s="131" t="s">
        <v>319</v>
      </c>
    </row>
    <row r="29" spans="1:2" x14ac:dyDescent="0.2">
      <c r="A29" s="1212">
        <v>39953</v>
      </c>
      <c r="B29" s="131" t="s">
        <v>320</v>
      </c>
    </row>
    <row r="30" spans="1:2" x14ac:dyDescent="0.2">
      <c r="A30" s="1212"/>
      <c r="B30" s="131" t="s">
        <v>321</v>
      </c>
    </row>
    <row r="31" spans="1:2" x14ac:dyDescent="0.2">
      <c r="A31" s="1212">
        <v>40022</v>
      </c>
      <c r="B31" s="131" t="s">
        <v>322</v>
      </c>
    </row>
    <row r="32" spans="1:2" x14ac:dyDescent="0.2">
      <c r="A32" s="1212"/>
      <c r="B32" s="131" t="s">
        <v>323</v>
      </c>
    </row>
    <row r="33" spans="1:2" x14ac:dyDescent="0.2">
      <c r="A33" s="254">
        <v>40070</v>
      </c>
      <c r="B33" s="131" t="s">
        <v>324</v>
      </c>
    </row>
    <row r="34" spans="1:2" x14ac:dyDescent="0.2">
      <c r="A34" s="1212">
        <v>40086</v>
      </c>
      <c r="B34" s="136" t="s">
        <v>325</v>
      </c>
    </row>
    <row r="35" spans="1:2" x14ac:dyDescent="0.2">
      <c r="A35" s="1212"/>
      <c r="B35" s="136" t="s">
        <v>326</v>
      </c>
    </row>
    <row r="36" spans="1:2" x14ac:dyDescent="0.2">
      <c r="A36" s="1212">
        <v>40240</v>
      </c>
      <c r="B36" s="131" t="s">
        <v>327</v>
      </c>
    </row>
    <row r="37" spans="1:2" x14ac:dyDescent="0.2">
      <c r="A37" s="1212"/>
      <c r="B37" s="131" t="s">
        <v>328</v>
      </c>
    </row>
    <row r="38" spans="1:2" x14ac:dyDescent="0.2">
      <c r="A38" s="1212"/>
      <c r="B38" s="131" t="s">
        <v>329</v>
      </c>
    </row>
    <row r="39" spans="1:2" x14ac:dyDescent="0.2">
      <c r="A39" s="254">
        <v>40319</v>
      </c>
      <c r="B39" s="131" t="s">
        <v>330</v>
      </c>
    </row>
    <row r="40" spans="1:2" x14ac:dyDescent="0.2">
      <c r="A40" s="254">
        <v>40421</v>
      </c>
      <c r="B40" s="131" t="s">
        <v>329</v>
      </c>
    </row>
    <row r="41" spans="1:2" x14ac:dyDescent="0.2">
      <c r="A41" s="254">
        <v>40490</v>
      </c>
      <c r="B41" s="131" t="s">
        <v>331</v>
      </c>
    </row>
    <row r="42" spans="1:2" x14ac:dyDescent="0.2">
      <c r="A42" s="254">
        <v>40664</v>
      </c>
      <c r="B42" s="131" t="s">
        <v>336</v>
      </c>
    </row>
    <row r="43" spans="1:2" x14ac:dyDescent="0.2">
      <c r="A43" s="254">
        <v>40878</v>
      </c>
      <c r="B43" s="131" t="s">
        <v>338</v>
      </c>
    </row>
    <row r="44" spans="1:2" x14ac:dyDescent="0.2">
      <c r="A44" s="254">
        <v>40893</v>
      </c>
      <c r="B44" s="131" t="s">
        <v>342</v>
      </c>
    </row>
    <row r="45" spans="1:2" x14ac:dyDescent="0.2">
      <c r="A45" s="254">
        <v>41092</v>
      </c>
      <c r="B45" s="131" t="s">
        <v>378</v>
      </c>
    </row>
    <row r="46" spans="1:2" x14ac:dyDescent="0.2">
      <c r="A46" s="254">
        <v>41158</v>
      </c>
      <c r="B46" s="131" t="s">
        <v>379</v>
      </c>
    </row>
    <row r="47" spans="1:2" x14ac:dyDescent="0.2">
      <c r="A47" s="254">
        <v>41243</v>
      </c>
      <c r="B47" s="131" t="s">
        <v>380</v>
      </c>
    </row>
    <row r="48" spans="1:2" x14ac:dyDescent="0.2">
      <c r="A48" s="1213">
        <v>41395</v>
      </c>
      <c r="B48" s="131" t="s">
        <v>443</v>
      </c>
    </row>
    <row r="49" spans="1:2" x14ac:dyDescent="0.2">
      <c r="A49" s="1213"/>
      <c r="B49" s="131" t="s">
        <v>444</v>
      </c>
    </row>
    <row r="50" spans="1:2" x14ac:dyDescent="0.2">
      <c r="A50" s="1213"/>
      <c r="B50" s="131" t="s">
        <v>445</v>
      </c>
    </row>
    <row r="51" spans="1:2" x14ac:dyDescent="0.2">
      <c r="A51" s="254">
        <v>41410</v>
      </c>
      <c r="B51" s="131" t="s">
        <v>448</v>
      </c>
    </row>
    <row r="52" spans="1:2" x14ac:dyDescent="0.2">
      <c r="A52" s="254">
        <v>41418</v>
      </c>
      <c r="B52" s="131" t="s">
        <v>449</v>
      </c>
    </row>
    <row r="53" spans="1:2" x14ac:dyDescent="0.2">
      <c r="A53" s="254">
        <v>41436</v>
      </c>
      <c r="B53" s="131" t="s">
        <v>450</v>
      </c>
    </row>
    <row r="54" spans="1:2" x14ac:dyDescent="0.2">
      <c r="A54" s="254">
        <v>41516</v>
      </c>
      <c r="B54" s="131" t="s">
        <v>455</v>
      </c>
    </row>
    <row r="55" spans="1:2" x14ac:dyDescent="0.2">
      <c r="A55" s="1212">
        <v>41764</v>
      </c>
      <c r="B55" s="131" t="s">
        <v>458</v>
      </c>
    </row>
    <row r="56" spans="1:2" x14ac:dyDescent="0.2">
      <c r="A56" s="1212"/>
      <c r="B56" s="131" t="s">
        <v>461</v>
      </c>
    </row>
    <row r="57" spans="1:2" x14ac:dyDescent="0.2">
      <c r="A57" s="1212"/>
      <c r="B57" s="131" t="s">
        <v>462</v>
      </c>
    </row>
    <row r="58" spans="1:2" x14ac:dyDescent="0.2">
      <c r="A58" s="1212"/>
      <c r="B58" s="131" t="s">
        <v>460</v>
      </c>
    </row>
    <row r="59" spans="1:2" x14ac:dyDescent="0.2">
      <c r="A59" s="254">
        <v>41852</v>
      </c>
      <c r="B59" s="131" t="s">
        <v>467</v>
      </c>
    </row>
    <row r="60" spans="1:2" x14ac:dyDescent="0.2">
      <c r="A60" s="254">
        <v>41975</v>
      </c>
      <c r="B60" s="131" t="s">
        <v>470</v>
      </c>
    </row>
    <row r="61" spans="1:2" x14ac:dyDescent="0.2">
      <c r="A61" s="254">
        <v>42132</v>
      </c>
      <c r="B61" s="131" t="s">
        <v>475</v>
      </c>
    </row>
    <row r="62" spans="1:2" x14ac:dyDescent="0.2">
      <c r="A62" s="254">
        <v>42142</v>
      </c>
      <c r="B62" s="131" t="s">
        <v>476</v>
      </c>
    </row>
    <row r="63" spans="1:2" x14ac:dyDescent="0.2">
      <c r="A63" s="254">
        <v>42156</v>
      </c>
      <c r="B63" s="131" t="s">
        <v>330</v>
      </c>
    </row>
    <row r="64" spans="1:2" x14ac:dyDescent="0.2">
      <c r="A64" s="254">
        <v>42243</v>
      </c>
      <c r="B64" s="131" t="s">
        <v>478</v>
      </c>
    </row>
    <row r="65" spans="1:2" x14ac:dyDescent="0.2">
      <c r="A65" s="254">
        <v>42466</v>
      </c>
      <c r="B65" s="131" t="s">
        <v>484</v>
      </c>
    </row>
    <row r="66" spans="1:2" x14ac:dyDescent="0.2">
      <c r="A66" s="254">
        <v>42551</v>
      </c>
      <c r="B66" s="131" t="s">
        <v>485</v>
      </c>
    </row>
    <row r="67" spans="1:2" x14ac:dyDescent="0.2">
      <c r="A67" s="1213">
        <v>42585</v>
      </c>
      <c r="B67" s="131" t="s">
        <v>498</v>
      </c>
    </row>
    <row r="68" spans="1:2" x14ac:dyDescent="0.2">
      <c r="A68" s="1213"/>
      <c r="B68" s="131" t="s">
        <v>499</v>
      </c>
    </row>
    <row r="69" spans="1:2" x14ac:dyDescent="0.2">
      <c r="A69" s="1213"/>
      <c r="B69" s="131" t="s">
        <v>500</v>
      </c>
    </row>
    <row r="70" spans="1:2" x14ac:dyDescent="0.2">
      <c r="A70" s="1213"/>
      <c r="B70" s="131" t="s">
        <v>497</v>
      </c>
    </row>
    <row r="71" spans="1:2" x14ac:dyDescent="0.2">
      <c r="A71" s="1213"/>
      <c r="B71" s="131" t="s">
        <v>496</v>
      </c>
    </row>
    <row r="72" spans="1:2" x14ac:dyDescent="0.2">
      <c r="A72" s="340" t="s">
        <v>502</v>
      </c>
      <c r="B72" s="131" t="s">
        <v>503</v>
      </c>
    </row>
    <row r="73" spans="1:2" x14ac:dyDescent="0.2">
      <c r="A73" s="1213" t="s">
        <v>509</v>
      </c>
      <c r="B73" s="131" t="s">
        <v>506</v>
      </c>
    </row>
    <row r="74" spans="1:2" x14ac:dyDescent="0.2">
      <c r="A74" s="1213"/>
      <c r="B74" s="131" t="s">
        <v>507</v>
      </c>
    </row>
    <row r="75" spans="1:2" x14ac:dyDescent="0.2">
      <c r="A75" s="1213"/>
      <c r="B75" s="131" t="s">
        <v>508</v>
      </c>
    </row>
    <row r="76" spans="1:2" x14ac:dyDescent="0.2">
      <c r="A76" s="340" t="s">
        <v>510</v>
      </c>
      <c r="B76" s="131" t="s">
        <v>517</v>
      </c>
    </row>
    <row r="77" spans="1:2" x14ac:dyDescent="0.2">
      <c r="A77" s="254">
        <v>43263</v>
      </c>
      <c r="B77" s="131" t="s">
        <v>330</v>
      </c>
    </row>
    <row r="78" spans="1:2" x14ac:dyDescent="0.2">
      <c r="A78" s="254">
        <v>43605</v>
      </c>
      <c r="B78" s="131" t="s">
        <v>516</v>
      </c>
    </row>
    <row r="79" spans="1:2" x14ac:dyDescent="0.2">
      <c r="A79" s="254">
        <v>44042</v>
      </c>
      <c r="B79" s="131" t="s">
        <v>518</v>
      </c>
    </row>
    <row r="80" spans="1:2" x14ac:dyDescent="0.2">
      <c r="A80" s="254">
        <v>44057</v>
      </c>
      <c r="B80" s="131" t="s">
        <v>526</v>
      </c>
    </row>
    <row r="81" spans="1:2" x14ac:dyDescent="0.2">
      <c r="A81" s="1212">
        <v>44341</v>
      </c>
      <c r="B81" s="131" t="s">
        <v>529</v>
      </c>
    </row>
    <row r="82" spans="1:2" x14ac:dyDescent="0.2">
      <c r="A82" s="1212"/>
      <c r="B82" s="131" t="s">
        <v>530</v>
      </c>
    </row>
    <row r="83" spans="1:2" x14ac:dyDescent="0.2">
      <c r="A83" s="1212"/>
      <c r="B83" s="131" t="s">
        <v>531</v>
      </c>
    </row>
    <row r="84" spans="1:2" x14ac:dyDescent="0.2">
      <c r="A84" s="254">
        <v>44364</v>
      </c>
      <c r="B84" s="131" t="s">
        <v>532</v>
      </c>
    </row>
    <row r="85" spans="1:2" x14ac:dyDescent="0.2">
      <c r="A85" s="254">
        <v>44505</v>
      </c>
      <c r="B85" s="131" t="s">
        <v>534</v>
      </c>
    </row>
    <row r="86" spans="1:2" x14ac:dyDescent="0.2">
      <c r="A86" s="254">
        <v>44515</v>
      </c>
      <c r="B86" s="131" t="s">
        <v>535</v>
      </c>
    </row>
    <row r="87" spans="1:2" ht="89.25" x14ac:dyDescent="0.2">
      <c r="A87" s="354">
        <v>44550</v>
      </c>
      <c r="B87" s="362" t="s">
        <v>552</v>
      </c>
    </row>
    <row r="88" spans="1:2" ht="38.25" x14ac:dyDescent="0.2">
      <c r="A88" s="354">
        <v>44589</v>
      </c>
      <c r="B88" s="362" t="s">
        <v>555</v>
      </c>
    </row>
    <row r="89" spans="1:2" x14ac:dyDescent="0.2">
      <c r="A89" s="254">
        <v>44642</v>
      </c>
      <c r="B89" s="131" t="s">
        <v>566</v>
      </c>
    </row>
    <row r="90" spans="1:2" ht="38.25" x14ac:dyDescent="0.2">
      <c r="A90" s="354">
        <v>44910</v>
      </c>
      <c r="B90" s="362" t="s">
        <v>567</v>
      </c>
    </row>
  </sheetData>
  <sheetProtection algorithmName="SHA-512" hashValue="DTSBSwGgeiT/f1LYBggwNVHbheQv/ksZj41TH9rpEZ8F81tco6ONhqZhOKI50iyjTO5ythK8+gPMxX41g/Pl7A==" saltValue="BILUrL+FaTXjREq0FGLIGA==" spinCount="100000" sheet="1" selectLockedCells="1" selectUnlockedCells="1"/>
  <mergeCells count="10">
    <mergeCell ref="A81:A83"/>
    <mergeCell ref="A73:A75"/>
    <mergeCell ref="A67:A71"/>
    <mergeCell ref="A55:A58"/>
    <mergeCell ref="A27:A28"/>
    <mergeCell ref="A48:A50"/>
    <mergeCell ref="A36:A38"/>
    <mergeCell ref="A34:A35"/>
    <mergeCell ref="A31:A32"/>
    <mergeCell ref="A29:A3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dimension ref="B3:J98"/>
  <sheetViews>
    <sheetView topLeftCell="A5" workbookViewId="0">
      <selection activeCell="I7" sqref="I7:I54"/>
    </sheetView>
  </sheetViews>
  <sheetFormatPr defaultRowHeight="12.75" x14ac:dyDescent="0.2"/>
  <cols>
    <col min="2" max="2" width="16.7109375" customWidth="1"/>
    <col min="3" max="3" width="14.28515625" customWidth="1"/>
    <col min="9" max="9" width="35.7109375" bestFit="1" customWidth="1"/>
    <col min="10" max="10" width="21" style="220" bestFit="1" customWidth="1"/>
  </cols>
  <sheetData>
    <row r="3" spans="2:10" x14ac:dyDescent="0.2">
      <c r="B3" t="s">
        <v>491</v>
      </c>
      <c r="E3" s="304" t="b">
        <v>0</v>
      </c>
    </row>
    <row r="6" spans="2:10" x14ac:dyDescent="0.2">
      <c r="B6" t="s">
        <v>6</v>
      </c>
      <c r="E6" s="303">
        <v>1</v>
      </c>
      <c r="F6" s="84" t="str">
        <f>CHOOSE(E6,B7,B8,B9,B10)</f>
        <v>&lt;choose&gt;</v>
      </c>
      <c r="I6" t="s">
        <v>387</v>
      </c>
      <c r="J6" s="220" t="s">
        <v>425</v>
      </c>
    </row>
    <row r="7" spans="2:10" ht="15" x14ac:dyDescent="0.25">
      <c r="B7" s="7" t="s">
        <v>36</v>
      </c>
      <c r="C7" s="7"/>
      <c r="D7" s="7"/>
      <c r="I7" s="7" t="s">
        <v>436</v>
      </c>
      <c r="J7" s="221">
        <v>0</v>
      </c>
    </row>
    <row r="8" spans="2:10" ht="15" x14ac:dyDescent="0.25">
      <c r="B8" s="7" t="s">
        <v>7</v>
      </c>
      <c r="C8" s="7"/>
      <c r="D8" s="7"/>
      <c r="I8" s="7" t="s">
        <v>390</v>
      </c>
      <c r="J8" s="221">
        <v>15300</v>
      </c>
    </row>
    <row r="9" spans="2:10" ht="15" x14ac:dyDescent="0.25">
      <c r="B9" s="7" t="s">
        <v>8</v>
      </c>
      <c r="C9" s="7"/>
      <c r="D9" s="7"/>
      <c r="I9" s="7" t="s">
        <v>391</v>
      </c>
      <c r="J9" s="221">
        <v>15300</v>
      </c>
    </row>
    <row r="10" spans="2:10" ht="15" x14ac:dyDescent="0.25">
      <c r="I10" s="7" t="s">
        <v>451</v>
      </c>
      <c r="J10" s="221">
        <v>15300</v>
      </c>
    </row>
    <row r="11" spans="2:10" ht="15" x14ac:dyDescent="0.25">
      <c r="I11" s="7" t="s">
        <v>452</v>
      </c>
      <c r="J11" s="221">
        <v>15300</v>
      </c>
    </row>
    <row r="12" spans="2:10" ht="15" x14ac:dyDescent="0.25">
      <c r="I12" s="7" t="s">
        <v>392</v>
      </c>
      <c r="J12" s="221">
        <v>15300</v>
      </c>
    </row>
    <row r="13" spans="2:10" ht="15" x14ac:dyDescent="0.25">
      <c r="I13" s="7" t="s">
        <v>393</v>
      </c>
      <c r="J13" s="221">
        <v>17340</v>
      </c>
    </row>
    <row r="14" spans="2:10" ht="15" x14ac:dyDescent="0.25">
      <c r="B14" t="s">
        <v>13</v>
      </c>
      <c r="E14" s="303">
        <v>1</v>
      </c>
      <c r="F14" s="84" t="str">
        <f>CHOOSE(E14,B15,B16,B17,B18)</f>
        <v>&lt;choose&gt;</v>
      </c>
      <c r="I14" s="7" t="s">
        <v>394</v>
      </c>
      <c r="J14" s="221">
        <v>21420</v>
      </c>
    </row>
    <row r="15" spans="2:10" ht="15" x14ac:dyDescent="0.25">
      <c r="B15" s="8" t="s">
        <v>36</v>
      </c>
      <c r="C15" s="8"/>
      <c r="D15" s="8"/>
      <c r="I15" s="7" t="s">
        <v>395</v>
      </c>
      <c r="J15" s="221">
        <v>21420</v>
      </c>
    </row>
    <row r="16" spans="2:10" ht="15" x14ac:dyDescent="0.25">
      <c r="B16" s="8" t="s">
        <v>14</v>
      </c>
      <c r="C16" s="8"/>
      <c r="D16" s="8"/>
      <c r="I16" s="7" t="s">
        <v>396</v>
      </c>
      <c r="J16" s="221">
        <v>15300</v>
      </c>
    </row>
    <row r="17" spans="2:10" ht="15" x14ac:dyDescent="0.25">
      <c r="B17" s="8" t="s">
        <v>15</v>
      </c>
      <c r="C17" s="8"/>
      <c r="D17" s="8"/>
      <c r="I17" s="7" t="s">
        <v>397</v>
      </c>
      <c r="J17" s="221">
        <v>17340</v>
      </c>
    </row>
    <row r="18" spans="2:10" ht="15" x14ac:dyDescent="0.25">
      <c r="B18" s="8" t="s">
        <v>16</v>
      </c>
      <c r="C18" s="8"/>
      <c r="D18" s="8"/>
      <c r="I18" s="7" t="s">
        <v>398</v>
      </c>
      <c r="J18" s="221">
        <v>17340</v>
      </c>
    </row>
    <row r="19" spans="2:10" ht="15" x14ac:dyDescent="0.25">
      <c r="I19" s="7" t="s">
        <v>558</v>
      </c>
      <c r="J19" s="221">
        <v>15300</v>
      </c>
    </row>
    <row r="20" spans="2:10" ht="15" x14ac:dyDescent="0.25">
      <c r="I20" s="7" t="s">
        <v>399</v>
      </c>
      <c r="J20" s="221">
        <v>15300</v>
      </c>
    </row>
    <row r="21" spans="2:10" ht="15" x14ac:dyDescent="0.25">
      <c r="I21" s="7" t="s">
        <v>400</v>
      </c>
      <c r="J21" s="221">
        <v>15300</v>
      </c>
    </row>
    <row r="22" spans="2:10" ht="15" x14ac:dyDescent="0.25">
      <c r="I22" s="7" t="s">
        <v>401</v>
      </c>
      <c r="J22" s="221">
        <v>21420</v>
      </c>
    </row>
    <row r="23" spans="2:10" ht="15" x14ac:dyDescent="0.25">
      <c r="B23" t="s">
        <v>35</v>
      </c>
      <c r="I23" s="7" t="s">
        <v>402</v>
      </c>
      <c r="J23" s="221">
        <v>21420</v>
      </c>
    </row>
    <row r="24" spans="2:10" ht="15" x14ac:dyDescent="0.25">
      <c r="B24" s="8" t="s">
        <v>36</v>
      </c>
      <c r="C24" s="8"/>
      <c r="D24" s="8"/>
      <c r="I24" s="7" t="s">
        <v>403</v>
      </c>
      <c r="J24" s="221">
        <v>15300</v>
      </c>
    </row>
    <row r="25" spans="2:10" ht="15" x14ac:dyDescent="0.25">
      <c r="B25" s="8" t="s">
        <v>37</v>
      </c>
      <c r="C25" s="8"/>
      <c r="D25" s="8"/>
      <c r="I25" s="7" t="s">
        <v>404</v>
      </c>
      <c r="J25" s="221">
        <v>15300</v>
      </c>
    </row>
    <row r="26" spans="2:10" ht="15" x14ac:dyDescent="0.25">
      <c r="B26" s="8" t="s">
        <v>38</v>
      </c>
      <c r="C26" s="8"/>
      <c r="D26" s="8"/>
      <c r="I26" s="7" t="s">
        <v>405</v>
      </c>
      <c r="J26" s="221">
        <v>15300</v>
      </c>
    </row>
    <row r="27" spans="2:10" ht="15" x14ac:dyDescent="0.25">
      <c r="B27" s="8" t="s">
        <v>39</v>
      </c>
      <c r="C27" s="8"/>
      <c r="D27" s="8"/>
      <c r="I27" s="7" t="s">
        <v>406</v>
      </c>
      <c r="J27" s="221">
        <v>15300</v>
      </c>
    </row>
    <row r="28" spans="2:10" ht="15" x14ac:dyDescent="0.25">
      <c r="B28" s="8" t="s">
        <v>16</v>
      </c>
      <c r="C28" s="8"/>
      <c r="D28" s="8"/>
      <c r="I28" s="7" t="s">
        <v>407</v>
      </c>
      <c r="J28" s="221">
        <v>17340</v>
      </c>
    </row>
    <row r="29" spans="2:10" ht="15" x14ac:dyDescent="0.25">
      <c r="I29" s="7" t="s">
        <v>560</v>
      </c>
      <c r="J29" s="221">
        <v>15300</v>
      </c>
    </row>
    <row r="30" spans="2:10" ht="15" x14ac:dyDescent="0.25">
      <c r="I30" s="7" t="s">
        <v>408</v>
      </c>
      <c r="J30" s="221">
        <v>15300</v>
      </c>
    </row>
    <row r="31" spans="2:10" ht="15" x14ac:dyDescent="0.25">
      <c r="I31" s="7" t="s">
        <v>409</v>
      </c>
      <c r="J31" s="221">
        <v>15300</v>
      </c>
    </row>
    <row r="32" spans="2:10" ht="15" x14ac:dyDescent="0.25">
      <c r="I32" s="7" t="s">
        <v>410</v>
      </c>
      <c r="J32" s="221">
        <v>17340</v>
      </c>
    </row>
    <row r="33" spans="2:10" ht="15" x14ac:dyDescent="0.25">
      <c r="B33" t="s">
        <v>44</v>
      </c>
      <c r="F33" s="8" t="s">
        <v>434</v>
      </c>
      <c r="G33" s="8"/>
      <c r="H33" s="8"/>
      <c r="I33" s="7" t="s">
        <v>411</v>
      </c>
      <c r="J33" s="221">
        <v>21420</v>
      </c>
    </row>
    <row r="34" spans="2:10" ht="15" x14ac:dyDescent="0.25">
      <c r="B34" s="8" t="s">
        <v>36</v>
      </c>
      <c r="C34" s="8"/>
      <c r="D34" s="8"/>
      <c r="F34" s="8" t="s">
        <v>426</v>
      </c>
      <c r="G34" s="8"/>
      <c r="H34" s="8"/>
      <c r="I34" s="7" t="s">
        <v>412</v>
      </c>
      <c r="J34" s="221">
        <v>15300</v>
      </c>
    </row>
    <row r="35" spans="2:10" ht="15" x14ac:dyDescent="0.25">
      <c r="B35" s="8" t="s">
        <v>40</v>
      </c>
      <c r="C35" s="8"/>
      <c r="D35" s="8"/>
      <c r="F35" s="8" t="s">
        <v>427</v>
      </c>
      <c r="G35" s="8"/>
      <c r="H35" s="8"/>
      <c r="I35" s="7" t="s">
        <v>561</v>
      </c>
      <c r="J35" s="221">
        <v>15300</v>
      </c>
    </row>
    <row r="36" spans="2:10" ht="15" x14ac:dyDescent="0.25">
      <c r="B36" s="8" t="s">
        <v>41</v>
      </c>
      <c r="C36" s="8"/>
      <c r="D36" s="8"/>
      <c r="F36" s="8" t="s">
        <v>428</v>
      </c>
      <c r="G36" s="8"/>
      <c r="H36" s="8"/>
      <c r="I36" s="7" t="s">
        <v>562</v>
      </c>
      <c r="J36" s="221">
        <v>15300</v>
      </c>
    </row>
    <row r="37" spans="2:10" ht="15" x14ac:dyDescent="0.25">
      <c r="B37" s="8" t="s">
        <v>42</v>
      </c>
      <c r="C37" s="8"/>
      <c r="D37" s="8"/>
      <c r="I37" s="7" t="s">
        <v>413</v>
      </c>
      <c r="J37" s="221">
        <v>15300</v>
      </c>
    </row>
    <row r="38" spans="2:10" ht="15" x14ac:dyDescent="0.25">
      <c r="B38" s="8" t="s">
        <v>43</v>
      </c>
      <c r="C38" s="8"/>
      <c r="D38" s="8"/>
      <c r="I38" s="7" t="s">
        <v>414</v>
      </c>
      <c r="J38" s="221">
        <v>15300</v>
      </c>
    </row>
    <row r="39" spans="2:10" ht="15" x14ac:dyDescent="0.25">
      <c r="I39" s="7" t="s">
        <v>415</v>
      </c>
      <c r="J39" s="221">
        <v>15300</v>
      </c>
    </row>
    <row r="40" spans="2:10" ht="15" x14ac:dyDescent="0.25">
      <c r="I40" s="7" t="s">
        <v>466</v>
      </c>
      <c r="J40" s="221">
        <v>15300</v>
      </c>
    </row>
    <row r="41" spans="2:10" ht="15" x14ac:dyDescent="0.25">
      <c r="I41" s="7" t="s">
        <v>563</v>
      </c>
      <c r="J41" s="221">
        <v>21420</v>
      </c>
    </row>
    <row r="42" spans="2:10" ht="15" x14ac:dyDescent="0.25">
      <c r="I42" s="7" t="s">
        <v>416</v>
      </c>
      <c r="J42" s="221">
        <v>15300</v>
      </c>
    </row>
    <row r="43" spans="2:10" ht="15" x14ac:dyDescent="0.25">
      <c r="B43" t="s">
        <v>45</v>
      </c>
      <c r="F43" s="8" t="s">
        <v>435</v>
      </c>
      <c r="G43" s="8"/>
      <c r="H43" s="8"/>
      <c r="I43" s="7" t="s">
        <v>417</v>
      </c>
      <c r="J43" s="221">
        <v>21420</v>
      </c>
    </row>
    <row r="44" spans="2:10" ht="15" x14ac:dyDescent="0.25">
      <c r="B44" s="8" t="s">
        <v>36</v>
      </c>
      <c r="C44" s="8"/>
      <c r="D44" s="8"/>
      <c r="F44" s="8" t="s">
        <v>432</v>
      </c>
      <c r="G44" s="8"/>
      <c r="H44" s="8"/>
      <c r="I44" s="7" t="s">
        <v>418</v>
      </c>
      <c r="J44" s="221">
        <v>15300</v>
      </c>
    </row>
    <row r="45" spans="2:10" ht="15" x14ac:dyDescent="0.25">
      <c r="B45" s="8" t="s">
        <v>46</v>
      </c>
      <c r="C45" s="8"/>
      <c r="D45" s="8"/>
      <c r="F45" s="8" t="s">
        <v>431</v>
      </c>
      <c r="G45" s="8"/>
      <c r="H45" s="8"/>
      <c r="I45" s="7" t="s">
        <v>419</v>
      </c>
      <c r="J45" s="221">
        <v>21420</v>
      </c>
    </row>
    <row r="46" spans="2:10" ht="15" x14ac:dyDescent="0.25">
      <c r="B46" s="8" t="s">
        <v>47</v>
      </c>
      <c r="C46" s="8"/>
      <c r="D46" s="8"/>
      <c r="F46" s="8" t="s">
        <v>430</v>
      </c>
      <c r="G46" s="8"/>
      <c r="H46" s="8"/>
      <c r="I46" s="7" t="s">
        <v>420</v>
      </c>
      <c r="J46" s="221">
        <v>15300</v>
      </c>
    </row>
    <row r="47" spans="2:10" ht="15" x14ac:dyDescent="0.25">
      <c r="B47" s="8" t="s">
        <v>41</v>
      </c>
      <c r="C47" s="8"/>
      <c r="D47" s="8"/>
      <c r="F47" s="8" t="s">
        <v>429</v>
      </c>
      <c r="G47" s="8"/>
      <c r="H47" s="8"/>
      <c r="I47" s="7" t="s">
        <v>421</v>
      </c>
      <c r="J47" s="221">
        <v>15300</v>
      </c>
    </row>
    <row r="48" spans="2:10" ht="15" x14ac:dyDescent="0.25">
      <c r="F48" s="8" t="s">
        <v>468</v>
      </c>
      <c r="G48" s="8"/>
      <c r="H48" s="8"/>
      <c r="I48" s="7" t="s">
        <v>564</v>
      </c>
      <c r="J48" s="221">
        <v>15300</v>
      </c>
    </row>
    <row r="49" spans="2:10" ht="15" x14ac:dyDescent="0.25">
      <c r="F49" s="8" t="s">
        <v>469</v>
      </c>
      <c r="G49" s="8"/>
      <c r="H49" s="8"/>
      <c r="I49" s="7" t="s">
        <v>422</v>
      </c>
      <c r="J49" s="221">
        <v>15300</v>
      </c>
    </row>
    <row r="50" spans="2:10" ht="15" x14ac:dyDescent="0.25">
      <c r="I50" s="7" t="s">
        <v>423</v>
      </c>
      <c r="J50" s="221">
        <v>15300</v>
      </c>
    </row>
    <row r="51" spans="2:10" ht="15" x14ac:dyDescent="0.25">
      <c r="I51" s="7" t="s">
        <v>424</v>
      </c>
      <c r="J51" s="221">
        <v>15300</v>
      </c>
    </row>
    <row r="52" spans="2:10" ht="15" x14ac:dyDescent="0.25">
      <c r="B52" t="s">
        <v>116</v>
      </c>
      <c r="I52" s="7" t="s">
        <v>453</v>
      </c>
      <c r="J52" s="221">
        <v>17340</v>
      </c>
    </row>
    <row r="53" spans="2:10" ht="15" x14ac:dyDescent="0.25">
      <c r="B53" s="8" t="s">
        <v>115</v>
      </c>
      <c r="C53" s="8"/>
      <c r="D53" s="8"/>
      <c r="E53" s="8"/>
      <c r="F53" s="8"/>
      <c r="I53" s="7" t="s">
        <v>454</v>
      </c>
      <c r="J53" s="221">
        <v>17340</v>
      </c>
    </row>
    <row r="54" spans="2:10" ht="15" x14ac:dyDescent="0.25">
      <c r="B54" s="8" t="s">
        <v>111</v>
      </c>
      <c r="C54" s="8"/>
      <c r="D54" s="8"/>
      <c r="E54" s="8"/>
      <c r="F54" s="8"/>
      <c r="I54" s="7" t="s">
        <v>559</v>
      </c>
      <c r="J54" s="221">
        <v>15300</v>
      </c>
    </row>
    <row r="55" spans="2:10" x14ac:dyDescent="0.2">
      <c r="B55" s="8" t="s">
        <v>112</v>
      </c>
      <c r="C55" s="8"/>
      <c r="D55" s="8"/>
      <c r="E55" s="8"/>
      <c r="F55" s="8"/>
    </row>
    <row r="56" spans="2:10" x14ac:dyDescent="0.2">
      <c r="B56" s="8" t="s">
        <v>113</v>
      </c>
      <c r="C56" s="8"/>
      <c r="D56" s="8"/>
      <c r="E56" s="8"/>
      <c r="F56" s="8"/>
    </row>
    <row r="57" spans="2:10" x14ac:dyDescent="0.2">
      <c r="B57" s="8" t="s">
        <v>114</v>
      </c>
      <c r="C57" s="8"/>
      <c r="D57" s="8"/>
      <c r="E57" s="8"/>
      <c r="F57" s="8"/>
    </row>
    <row r="58" spans="2:10" x14ac:dyDescent="0.2">
      <c r="B58" s="8" t="s">
        <v>73</v>
      </c>
      <c r="C58" s="8"/>
      <c r="D58" s="8"/>
      <c r="E58" s="8"/>
      <c r="F58" s="8"/>
    </row>
    <row r="59" spans="2:10" x14ac:dyDescent="0.2">
      <c r="B59" s="8" t="s">
        <v>74</v>
      </c>
      <c r="C59" s="8"/>
      <c r="D59" s="8"/>
      <c r="E59" s="8"/>
      <c r="F59" s="8"/>
    </row>
    <row r="60" spans="2:10" x14ac:dyDescent="0.2">
      <c r="B60" s="8" t="s">
        <v>75</v>
      </c>
      <c r="C60" s="8"/>
      <c r="D60" s="8"/>
      <c r="E60" s="8"/>
      <c r="F60" s="8"/>
    </row>
    <row r="61" spans="2:10" x14ac:dyDescent="0.2">
      <c r="B61" s="8" t="s">
        <v>76</v>
      </c>
      <c r="C61" s="8"/>
      <c r="D61" s="8"/>
      <c r="E61" s="8"/>
      <c r="F61" s="8"/>
    </row>
    <row r="62" spans="2:10" x14ac:dyDescent="0.2">
      <c r="B62" s="8" t="s">
        <v>77</v>
      </c>
      <c r="C62" s="8"/>
      <c r="D62" s="8"/>
      <c r="E62" s="8"/>
      <c r="F62" s="8"/>
    </row>
    <row r="63" spans="2:10" x14ac:dyDescent="0.2">
      <c r="B63" s="8" t="s">
        <v>78</v>
      </c>
      <c r="C63" s="8"/>
      <c r="D63" s="8"/>
      <c r="E63" s="8"/>
      <c r="F63" s="8"/>
    </row>
    <row r="64" spans="2:10" x14ac:dyDescent="0.2">
      <c r="B64" s="8" t="s">
        <v>79</v>
      </c>
      <c r="C64" s="8"/>
      <c r="D64" s="8"/>
      <c r="E64" s="8"/>
      <c r="F64" s="8"/>
    </row>
    <row r="65" spans="2:6" x14ac:dyDescent="0.2">
      <c r="B65" s="8" t="s">
        <v>80</v>
      </c>
      <c r="C65" s="8"/>
      <c r="D65" s="8"/>
      <c r="E65" s="8"/>
      <c r="F65" s="8"/>
    </row>
    <row r="70" spans="2:6" x14ac:dyDescent="0.2">
      <c r="B70" t="s">
        <v>128</v>
      </c>
      <c r="E70" s="304">
        <v>1</v>
      </c>
      <c r="F70" s="84" t="str">
        <f>CHOOSE(E70,B71,B72,B73,B74)</f>
        <v>&lt;choose&gt;</v>
      </c>
    </row>
    <row r="71" spans="2:6" x14ac:dyDescent="0.2">
      <c r="B71" s="8" t="s">
        <v>36</v>
      </c>
      <c r="C71" s="8"/>
      <c r="D71" s="8"/>
    </row>
    <row r="72" spans="2:6" x14ac:dyDescent="0.2">
      <c r="B72" s="8" t="s">
        <v>20</v>
      </c>
      <c r="C72" s="8"/>
      <c r="D72" s="8"/>
    </row>
    <row r="73" spans="2:6" x14ac:dyDescent="0.2">
      <c r="B73" s="8" t="s">
        <v>21</v>
      </c>
      <c r="C73" s="8"/>
      <c r="D73" s="8"/>
    </row>
    <row r="74" spans="2:6" x14ac:dyDescent="0.2">
      <c r="B74" s="8" t="s">
        <v>168</v>
      </c>
      <c r="C74" s="8"/>
      <c r="D74" s="8"/>
    </row>
    <row r="77" spans="2:6" x14ac:dyDescent="0.2">
      <c r="B77" s="8" t="s">
        <v>355</v>
      </c>
    </row>
    <row r="78" spans="2:6" x14ac:dyDescent="0.2">
      <c r="B78" s="8" t="s">
        <v>348</v>
      </c>
      <c r="C78" s="208">
        <v>25000</v>
      </c>
    </row>
    <row r="80" spans="2:6" x14ac:dyDescent="0.2">
      <c r="B80" s="207">
        <v>0</v>
      </c>
    </row>
    <row r="81" spans="2:3" x14ac:dyDescent="0.2">
      <c r="B81" s="207">
        <f>B80+$C$78</f>
        <v>25000</v>
      </c>
    </row>
    <row r="82" spans="2:3" x14ac:dyDescent="0.2">
      <c r="B82" s="207">
        <f t="shared" ref="B82:B90" si="0">B81+$C$78</f>
        <v>50000</v>
      </c>
    </row>
    <row r="83" spans="2:3" x14ac:dyDescent="0.2">
      <c r="B83" s="207">
        <f t="shared" si="0"/>
        <v>75000</v>
      </c>
    </row>
    <row r="84" spans="2:3" x14ac:dyDescent="0.2">
      <c r="B84" s="207">
        <f t="shared" si="0"/>
        <v>100000</v>
      </c>
    </row>
    <row r="85" spans="2:3" x14ac:dyDescent="0.2">
      <c r="B85" s="207">
        <f t="shared" si="0"/>
        <v>125000</v>
      </c>
    </row>
    <row r="86" spans="2:3" x14ac:dyDescent="0.2">
      <c r="B86" s="207">
        <f t="shared" si="0"/>
        <v>150000</v>
      </c>
    </row>
    <row r="87" spans="2:3" x14ac:dyDescent="0.2">
      <c r="B87" s="207">
        <f t="shared" si="0"/>
        <v>175000</v>
      </c>
    </row>
    <row r="88" spans="2:3" x14ac:dyDescent="0.2">
      <c r="B88" s="207">
        <f t="shared" si="0"/>
        <v>200000</v>
      </c>
    </row>
    <row r="89" spans="2:3" x14ac:dyDescent="0.2">
      <c r="B89" s="207">
        <f t="shared" si="0"/>
        <v>225000</v>
      </c>
    </row>
    <row r="90" spans="2:3" x14ac:dyDescent="0.2">
      <c r="B90" s="207">
        <f t="shared" si="0"/>
        <v>250000</v>
      </c>
    </row>
    <row r="92" spans="2:3" x14ac:dyDescent="0.2">
      <c r="B92" t="s">
        <v>539</v>
      </c>
      <c r="C92" s="304">
        <v>1</v>
      </c>
    </row>
    <row r="93" spans="2:3" x14ac:dyDescent="0.2">
      <c r="B93" s="8" t="s">
        <v>36</v>
      </c>
    </row>
    <row r="94" spans="2:3" x14ac:dyDescent="0.2">
      <c r="B94" s="8" t="s">
        <v>20</v>
      </c>
    </row>
    <row r="95" spans="2:3" x14ac:dyDescent="0.2">
      <c r="B95" s="8" t="s">
        <v>21</v>
      </c>
    </row>
    <row r="96" spans="2:3" x14ac:dyDescent="0.2">
      <c r="B96" s="8" t="s">
        <v>514</v>
      </c>
    </row>
    <row r="97" spans="2:2" x14ac:dyDescent="0.2">
      <c r="B97" s="8" t="s">
        <v>512</v>
      </c>
    </row>
    <row r="98" spans="2:2" x14ac:dyDescent="0.2">
      <c r="B98" s="8" t="s">
        <v>538</v>
      </c>
    </row>
  </sheetData>
  <sheetProtection algorithmName="SHA-512" hashValue="3uCHjmHjtHTIz35OlZcWa+tGUlsbTg0vw7hzBB96ZpCzyfLKw7fEkaUzJ7EUAV/wEpiWyts3F2+7yH+s+RHCug==" saltValue="DjEopHpeKek6Ge/K0OcWCQ==" spinCount="100000" sheet="1" selectLockedCells="1" selectUnlockedCells="1"/>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B1:M84"/>
  <sheetViews>
    <sheetView showGridLines="0" zoomScale="90" zoomScaleNormal="90" workbookViewId="0">
      <selection activeCell="B2" sqref="B2:J2"/>
    </sheetView>
  </sheetViews>
  <sheetFormatPr defaultColWidth="9.28515625" defaultRowHeight="12.75" x14ac:dyDescent="0.2"/>
  <cols>
    <col min="1" max="40" width="12.7109375" customWidth="1"/>
  </cols>
  <sheetData>
    <row r="1" spans="2:10" ht="13.5" thickBot="1" x14ac:dyDescent="0.25"/>
    <row r="2" spans="2:10" ht="16.5" thickTop="1" x14ac:dyDescent="0.2">
      <c r="B2" s="1215" t="s">
        <v>207</v>
      </c>
      <c r="C2" s="1216"/>
      <c r="D2" s="1216"/>
      <c r="E2" s="1216"/>
      <c r="F2" s="1216"/>
      <c r="G2" s="1216"/>
      <c r="H2" s="1216"/>
      <c r="I2" s="1216"/>
      <c r="J2" s="1217"/>
    </row>
    <row r="3" spans="2:10" x14ac:dyDescent="0.2">
      <c r="B3" s="34"/>
      <c r="C3" s="35"/>
      <c r="D3" s="35"/>
      <c r="E3" s="35"/>
      <c r="F3" s="1136" t="s">
        <v>51</v>
      </c>
      <c r="G3" s="1136"/>
      <c r="H3" s="36">
        <v>39661</v>
      </c>
      <c r="I3" s="8"/>
      <c r="J3" s="85"/>
    </row>
    <row r="4" spans="2:10" ht="12.75" customHeight="1" x14ac:dyDescent="0.2">
      <c r="B4" s="1218" t="s">
        <v>211</v>
      </c>
      <c r="C4" s="1219"/>
      <c r="D4" s="1219"/>
      <c r="E4" s="1219"/>
      <c r="F4" s="1219"/>
      <c r="G4" s="1219"/>
      <c r="H4" s="1219"/>
      <c r="I4" s="1219"/>
      <c r="J4" s="85"/>
    </row>
    <row r="5" spans="2:10" x14ac:dyDescent="0.2">
      <c r="B5" s="39"/>
      <c r="C5" s="41"/>
      <c r="D5" s="41"/>
      <c r="E5" s="41"/>
      <c r="F5" s="1139" t="s">
        <v>212</v>
      </c>
      <c r="G5" s="1136"/>
      <c r="H5" s="86">
        <v>25000</v>
      </c>
      <c r="I5" s="8"/>
      <c r="J5" s="85"/>
    </row>
    <row r="6" spans="2:10" x14ac:dyDescent="0.2">
      <c r="B6" s="87"/>
      <c r="C6" s="8"/>
      <c r="D6" s="8"/>
      <c r="E6" s="8"/>
      <c r="F6" s="8"/>
      <c r="G6" s="8"/>
      <c r="H6" s="8"/>
      <c r="I6" s="8"/>
      <c r="J6" s="85"/>
    </row>
    <row r="7" spans="2:10" x14ac:dyDescent="0.2">
      <c r="B7" s="87"/>
      <c r="C7" s="88" t="s">
        <v>160</v>
      </c>
      <c r="D7" s="88" t="s">
        <v>53</v>
      </c>
      <c r="E7" s="88" t="s">
        <v>54</v>
      </c>
      <c r="F7" s="88" t="s">
        <v>55</v>
      </c>
      <c r="G7" s="88" t="s">
        <v>56</v>
      </c>
      <c r="H7" s="88" t="s">
        <v>57</v>
      </c>
      <c r="I7" s="88" t="s">
        <v>225</v>
      </c>
      <c r="J7" s="85"/>
    </row>
    <row r="8" spans="2:10" x14ac:dyDescent="0.2">
      <c r="B8" s="87"/>
      <c r="C8" s="8">
        <v>1</v>
      </c>
      <c r="D8" s="8">
        <f>IF(Data_Subaward_Y1_1 &gt; Var_IndirectMaximum, Var_IndirectMaximum, Data_Subaward_Y1_1)</f>
        <v>0</v>
      </c>
      <c r="E8" s="8">
        <f>IF(Result_SubawardBase_Y1_1 &gt; Var_IndirectMaximum, 0, IF((Data_Subaward_Y2_1 + Result_SubawardBase_Y1_1) &lt; Var_IndirectMaximum, Data_Subaward_Y2_1, Var_IndirectMaximum - Result_SubawardBase_Y1_1))</f>
        <v>0</v>
      </c>
      <c r="F8" s="8">
        <f>IF((Result_SubawardBase_Y1_1 + Result_SubawardBase_Y2_1) &gt; Var_IndirectMaximum, 0, IF((Data_Subaward_Y3_1 + Result_SubawardBase_Y2_1 + Result_SubawardBase_Y1_1) &lt; Var_IndirectMaximum,Data_Subaward_Y3_1, Var_IndirectMaximum - Result_SubawardBase_Y2_1 - Result_SubawardBase_Y1_1))</f>
        <v>0</v>
      </c>
      <c r="G8" s="8">
        <f>IF((Result_SubawardBase_Y1_1 + Result_SubawardBase_Y2_1 + Result_SubawardBase_Y3_1) &gt; Var_IndirectMaximum, 0, IF((Data_Subaward_Y4_1 + Result_SubawardBase_Y3_1 + Result_SubawardBase_Y2_1 + Result_SubawardBase_Y1_1) &lt; Var_IndirectMaximum, Data_Subaward_Y4_1, Var_IndirectMaximum - Result_SubawardBase_Y3_1 - Result_SubawardBase_Y2_1 - Result_SubawardBase_Y1_1))</f>
        <v>0</v>
      </c>
      <c r="H8" s="8">
        <f>IF((Result_SubawardBase_Y1_1 + Result_SubawardBase_Y2_1 + Result_SubawardBase_Y3_1 + Result_SubawardBase_Y4_1) &gt; Var_IndirectMaximum, 0, IF((Data_Subaward_Y5_1 + Result_SubawardBase_Y4_1 + Result_SubawardBase_Y3_1 + Result_SubawardBase_Y2_1 + Result_SubawardBase_Y1_1) &lt; Var_IndirectMaximum, Data_Subaward_Y5_1, Var_IndirectMaximum - Result_SubawardBase_Y4_1 -Result_SubawardBase_Y3_1 - Result_SubawardBase_Y2_1 - Result_SubawardBase_Y1_1))</f>
        <v>0</v>
      </c>
      <c r="I8" s="8">
        <f>IF((Result_SubawardBase_Y1_1 + Result_SubawardBase_Y2_1 + Result_SubawardBase_Y3_1 + Result_SubawardBase_Y4_1 + Result_SubawardBase_Y5_1) &gt; Var_IndirectMaximum, 0, IF((Data_Subaward_Y6_1 + Result_SubawardBase_Y5_1 + Result_SubawardBase_Y4_1 + Result_SubawardBase_Y3_1 + Result_SubawardBase_Y2_1 + Result_SubawardBase_Y1_1) &lt; Var_IndirectMaximum, Data_Subaward_Y6_1, Var_IndirectMaximum - Result_SubawardBase_Y5_1 - Result_SubawardBase_Y4_1 - Result_SubawardBase_Y3_1 - Result_SubawardBase_Y2_1 - Result_SubawardBase_Y1_1))</f>
        <v>0</v>
      </c>
      <c r="J8" s="85"/>
    </row>
    <row r="9" spans="2:10" x14ac:dyDescent="0.2">
      <c r="B9" s="87"/>
      <c r="C9" s="8">
        <v>2</v>
      </c>
      <c r="D9" s="8">
        <f>IF(Data_Subaward_Y1_2 &gt; Var_IndirectMaximum, Var_IndirectMaximum, Data_Subaward_Y1_2)</f>
        <v>0</v>
      </c>
      <c r="E9" s="8">
        <f>IF(Result_SubawardBase_Y1_2 &gt; Var_IndirectMaximum, 0, IF((Data_Subaward_Y2_2 + Result_SubawardBase_Y1_2) &lt; Var_IndirectMaximum, Data_Subaward_Y2_2, Var_IndirectMaximum - Result_SubawardBase_Y1_2))</f>
        <v>0</v>
      </c>
      <c r="F9" s="8">
        <f>IF((Result_SubawardBase_Y1_2 + Result_SubawardBase_Y2_2) &gt; Var_IndirectMaximum, 0, IF((Data_Subaward_Y3_2 + Result_SubawardBase_Y2_2 + Result_SubawardBase_Y1_2) &lt; Var_IndirectMaximum,Data_Subaward_Y3_2, Var_IndirectMaximum - Result_SubawardBase_Y2_2 - Result_SubawardBase_Y1_2))</f>
        <v>0</v>
      </c>
      <c r="G9" s="8">
        <f>IF((Result_SubawardBase_Y1_2 + Result_SubawardBase_Y2_2 + Result_SubawardBase_Y3_2) &gt; Var_IndirectMaximum, 0, IF((Data_Subaward_Y4_2 + Result_SubawardBase_Y3_2 + Result_SubawardBase_Y2_2 + Result_SubawardBase_Y1_2) &lt; Var_IndirectMaximum, Data_Subaward_Y4_2, Var_IndirectMaximum - Result_SubawardBase_Y3_2 - Result_SubawardBase_Y2_2 - Result_SubawardBase_Y1_2))</f>
        <v>0</v>
      </c>
      <c r="H9" s="8">
        <f>IF((Result_SubawardBase_Y1_2 + Result_SubawardBase_Y2_2 + Result_SubawardBase_Y3_2 + Result_SubawardBase_Y4_2) &gt; Var_IndirectMaximum, 0, IF((Data_Subaward_Y5_2 + Result_SubawardBase_Y4_2 + Result_SubawardBase_Y3_2 + Result_SubawardBase_Y2_2 + Result_SubawardBase_Y1_2) &lt; Var_IndirectMaximum, Data_Subaward_Y5_2, Var_IndirectMaximum - Result_SubawardBase_Y4_2 -Result_SubawardBase_Y3_2 - Result_SubawardBase_Y2_2 - Result_SubawardBase_Y1_2))</f>
        <v>0</v>
      </c>
      <c r="I9" s="8">
        <f>IF((Result_SubawardBase_Y1_2 + Result_SubawardBase_Y2_2 + Result_SubawardBase_Y3_2 + Result_SubawardBase_Y4_2 + Result_SubawardBase_Y5_2) &gt; Var_IndirectMaximum, 0, IF((Data_Subaward_Y6_2 + Result_SubawardBase_Y5_2 + Result_SubawardBase_Y4_2 + Result_SubawardBase_Y3_2 + Result_SubawardBase_Y2_2 + Result_SubawardBase_Y1_2) &lt; Var_IndirectMaximum, Data_Subaward_Y6_2, Var_IndirectMaximum - Result_SubawardBase_Y5_2 - Result_SubawardBase_Y4_2 - Result_SubawardBase_Y3_2 - Result_SubawardBase_Y2_2 - Result_SubawardBase_Y1_2))</f>
        <v>0</v>
      </c>
      <c r="J9" s="85"/>
    </row>
    <row r="10" spans="2:10" x14ac:dyDescent="0.2">
      <c r="B10" s="87"/>
      <c r="C10" s="8">
        <v>3</v>
      </c>
      <c r="D10" s="8">
        <f>IF(Data_Subaward_Y1_3 &gt; Var_IndirectMaximum, Var_IndirectMaximum, Data_Subaward_Y1_3)</f>
        <v>0</v>
      </c>
      <c r="E10" s="8">
        <f>IF(Result_SubawardBase_Y1_3 &gt; Var_IndirectMaximum, 0, IF((Data_Subaward_Y2_3 + Result_SubawardBase_Y1_3) &lt; Var_IndirectMaximum, Data_Subaward_Y2_3, Var_IndirectMaximum - Result_SubawardBase_Y1_3))</f>
        <v>0</v>
      </c>
      <c r="F10" s="8">
        <f>IF((Result_SubawardBase_Y1_3 + Result_SubawardBase_Y2_3) &gt; Var_IndirectMaximum, 0, IF((Data_Subaward_Y3_3 + Result_SubawardBase_Y2_3 + Result_SubawardBase_Y1_3) &lt; Var_IndirectMaximum,Data_Subaward_Y3_3, Var_IndirectMaximum - Result_SubawardBase_Y2_3 - Result_SubawardBase_Y1_3))</f>
        <v>0</v>
      </c>
      <c r="G10" s="8">
        <f>IF((Result_SubawardBase_Y1_3 + Result_SubawardBase_Y2_3 + Result_SubawardBase_Y3_3) &gt; Var_IndirectMaximum, 0, IF((Data_Subaward_Y4_3 + Result_SubawardBase_Y3_3 + Result_SubawardBase_Y2_3 + Result_SubawardBase_Y1_3) &lt; Var_IndirectMaximum, Data_Subaward_Y4_3, Var_IndirectMaximum - Result_SubawardBase_Y3_3 - Result_SubawardBase_Y2_3 - Result_SubawardBase_Y1_3))</f>
        <v>0</v>
      </c>
      <c r="H10" s="8">
        <f>IF((Result_SubawardBase_Y1_3 + Result_SubawardBase_Y2_3 + Result_SubawardBase_Y3_3 + Result_SubawardBase_Y4_3) &gt; Var_IndirectMaximum, 0, IF((Data_Subaward_Y5_3 + Result_SubawardBase_Y4_3 + Result_SubawardBase_Y3_3 + Result_SubawardBase_Y2_3 + Result_SubawardBase_Y1_3) &lt; Var_IndirectMaximum, Data_Subaward_Y5_3, Var_IndirectMaximum - Result_SubawardBase_Y4_3 -Result_SubawardBase_Y3_3 - Result_SubawardBase_Y2_3 - Result_SubawardBase_Y1_3))</f>
        <v>0</v>
      </c>
      <c r="I10" s="8">
        <f>IF((Result_SubawardBase_Y1_3 + Result_SubawardBase_Y2_3 + Result_SubawardBase_Y3_3 + Result_SubawardBase_Y4_3 + Result_SubawardBase_Y5_3) &gt; Var_IndirectMaximum, 0, IF((Data_Subaward_Y6_3 + Result_SubawardBase_Y5_3 + Result_SubawardBase_Y4_3 + Result_SubawardBase_Y3_3 + Result_SubawardBase_Y2_3 + Result_SubawardBase_Y1_3) &lt; Var_IndirectMaximum, Data_Subaward_Y6_3, Var_IndirectMaximum - Result_SubawardBase_Y5_3 - Result_SubawardBase_Y4_3 - Result_SubawardBase_Y3_3 - Result_SubawardBase_Y2_3 - Result_SubawardBase_Y1_3))</f>
        <v>0</v>
      </c>
      <c r="J10" s="85"/>
    </row>
    <row r="11" spans="2:10" x14ac:dyDescent="0.2">
      <c r="B11" s="87"/>
      <c r="C11" s="8">
        <v>4</v>
      </c>
      <c r="D11" s="8">
        <f>IF(Data_Subaward_Y1_4 &gt; Var_IndirectMaximum, Var_IndirectMaximum, Data_Subaward_Y1_4)</f>
        <v>0</v>
      </c>
      <c r="E11" s="8">
        <f>IF(Result_SubawardBase_Y1_4 &gt; Var_IndirectMaximum, 0, IF((Data_Subaward_Y2_4 + Result_SubawardBase_Y1_4) &lt; Var_IndirectMaximum, Data_Subaward_Y2_4, Var_IndirectMaximum - Result_SubawardBase_Y1_4))</f>
        <v>0</v>
      </c>
      <c r="F11" s="8">
        <f>IF((Result_SubawardBase_Y1_4 + Result_SubawardBase_Y2_4) &gt; Var_IndirectMaximum, 0, IF((Data_Subaward_Y3_4 + Result_SubawardBase_Y2_4 + Result_SubawardBase_Y1_4) &lt; Var_IndirectMaximum,Data_Subaward_Y3_4, Var_IndirectMaximum - Result_SubawardBase_Y2_4 - Result_SubawardBase_Y1_4))</f>
        <v>0</v>
      </c>
      <c r="G11" s="8">
        <f>IF((Result_SubawardBase_Y1_4 + Result_SubawardBase_Y2_4 + Result_SubawardBase_Y3_4) &gt; Var_IndirectMaximum, 0, IF((Data_Subaward_Y4_4 + Result_SubawardBase_Y3_4 + Result_SubawardBase_Y2_4 + Result_SubawardBase_Y1_4) &lt; Var_IndirectMaximum, Data_Subaward_Y4_4, Var_IndirectMaximum - Result_SubawardBase_Y3_4 - Result_SubawardBase_Y2_4 - Result_SubawardBase_Y1_4))</f>
        <v>0</v>
      </c>
      <c r="H11" s="8">
        <f>IF((Result_SubawardBase_Y1_4 + Result_SubawardBase_Y2_4 + Result_SubawardBase_Y3_4 + Result_SubawardBase_Y4_4) &gt; Var_IndirectMaximum, 0, IF((Data_Subaward_Y5_4 + Result_SubawardBase_Y4_4 + Result_SubawardBase_Y3_4 + Result_SubawardBase_Y2_4 + Result_SubawardBase_Y1_4) &lt; Var_IndirectMaximum, Data_Subaward_Y5_4, Var_IndirectMaximum - Result_SubawardBase_Y4_4 -Result_SubawardBase_Y3_4 - Result_SubawardBase_Y2_4 - Result_SubawardBase_Y1_4))</f>
        <v>0</v>
      </c>
      <c r="I11" s="8">
        <f>IF((Result_SubawardBase_Y1_4 + Result_SubawardBase_Y2_4 + Result_SubawardBase_Y3_4 + Result_SubawardBase_Y4_4 + Result_SubawardBase_Y5_4) &gt; Var_IndirectMaximum, 0, IF((Data_Subaward_Y6_4 + Result_SubawardBase_Y5_4 + Result_SubawardBase_Y4_4 + Result_SubawardBase_Y3_4 + Result_SubawardBase_Y2_4 + Result_SubawardBase_Y1_4) &lt; Var_IndirectMaximum, Data_Subaward_Y6_4, Var_IndirectMaximum - Result_SubawardBase_Y5_4 - Result_SubawardBase_Y4_4 - Result_SubawardBase_Y3_4 - Result_SubawardBase_Y2_4 - Result_SubawardBase_Y1_4))</f>
        <v>0</v>
      </c>
      <c r="J11" s="85"/>
    </row>
    <row r="12" spans="2:10" x14ac:dyDescent="0.2">
      <c r="B12" s="87"/>
      <c r="C12" s="8">
        <v>5</v>
      </c>
      <c r="D12" s="8">
        <f>IF(Data_Subaward_Y1_5 &gt; Var_IndirectMaximum, Var_IndirectMaximum, Data_Subaward_Y1_5)</f>
        <v>0</v>
      </c>
      <c r="E12" s="8">
        <f>IF(Result_SubawardBase_Y1_5 &gt; Var_IndirectMaximum, 0, IF((Data_Subaward_Y2_5 + Result_SubawardBase_Y1_5) &lt; Var_IndirectMaximum, Data_Subaward_Y2_5, Var_IndirectMaximum - Result_SubawardBase_Y1_5))</f>
        <v>0</v>
      </c>
      <c r="F12" s="8">
        <f>IF((Result_SubawardBase_Y1_5 + Result_SubawardBase_Y2_5) &gt; Var_IndirectMaximum, 0, IF((Data_Subaward_Y3_5 + Result_SubawardBase_Y2_5 + Result_SubawardBase_Y1_5) &lt; Var_IndirectMaximum,Data_Subaward_Y3_5, Var_IndirectMaximum - Result_SubawardBase_Y2_5 - Result_SubawardBase_Y1_5))</f>
        <v>0</v>
      </c>
      <c r="G12" s="8">
        <f>IF((Result_SubawardBase_Y1_5 + Result_SubawardBase_Y2_5 + Result_SubawardBase_Y3_5) &gt; Var_IndirectMaximum, 0, IF((Data_Subaward_Y3_5 + Result_SubawardBase_Y3_5 + Result_SubawardBase_Y2_5 + Result_SubawardBase_Y1_5) &lt; Var_IndirectMaximum, Data_Subaward_Y3_5, Var_IndirectMaximum - Result_SubawardBase_Y3_5 - Result_SubawardBase_Y2_5 - Result_SubawardBase_Y1_5))</f>
        <v>0</v>
      </c>
      <c r="H12" s="8">
        <f>IF((Result_SubawardBase_Y1_5 + Result_SubawardBase_Y2_5 + Result_SubawardBase_Y3_5 + Result_SubawardBase_Y4_5) &gt; Var_IndirectMaximum, 0, IF((Data_Subaward_Y5_5 + Result_SubawardBase_Y4_5 + Result_SubawardBase_Y3_5 + Result_SubawardBase_Y2_5 + Result_SubawardBase_Y1_5) &lt; Var_IndirectMaximum, Data_Subaward_Y5_5, Var_IndirectMaximum - Result_SubawardBase_Y4_5 -Result_SubawardBase_Y3_5 - Result_SubawardBase_Y2_5 - Result_SubawardBase_Y1_5))</f>
        <v>0</v>
      </c>
      <c r="I12" s="8">
        <f>IF((Result_SubawardBase_Y1_5 + Result_SubawardBase_Y2_5 + Result_SubawardBase_Y3_5 + Result_SubawardBase_Y4_5 + Result_SubawardBase_Y5_5) &gt; Var_IndirectMaximum, 0, IF((Data_Subaward_Y6_5 + Result_SubawardBase_Y5_5 + Result_SubawardBase_Y4_5 + Result_SubawardBase_Y3_5 + Result_SubawardBase_Y2_5 + Result_SubawardBase_Y1_5) &lt; Var_IndirectMaximum, Data_Subaward_Y6_5, Var_IndirectMaximum - Result_SubawardBase_Y5_5 - Result_SubawardBase_Y4_5 - Result_SubawardBase_Y3_5 - Result_SubawardBase_Y2_5 - Result_SubawardBase_Y1_5))</f>
        <v>0</v>
      </c>
      <c r="J12" s="85"/>
    </row>
    <row r="13" spans="2:10" x14ac:dyDescent="0.2">
      <c r="B13" s="87"/>
      <c r="C13" s="8"/>
      <c r="D13" s="8"/>
      <c r="E13" s="8"/>
      <c r="F13" s="8"/>
      <c r="G13" s="8"/>
      <c r="H13" s="8"/>
      <c r="I13" s="8"/>
      <c r="J13" s="85"/>
    </row>
    <row r="14" spans="2:10" x14ac:dyDescent="0.2">
      <c r="B14" s="87"/>
      <c r="C14" s="89" t="s">
        <v>162</v>
      </c>
      <c r="D14" s="8">
        <f t="shared" ref="D14:I14" si="0">SUM(D8:D12)</f>
        <v>0</v>
      </c>
      <c r="E14" s="8">
        <f t="shared" si="0"/>
        <v>0</v>
      </c>
      <c r="F14" s="8">
        <f t="shared" si="0"/>
        <v>0</v>
      </c>
      <c r="G14" s="8">
        <f t="shared" si="0"/>
        <v>0</v>
      </c>
      <c r="H14" s="8">
        <f t="shared" si="0"/>
        <v>0</v>
      </c>
      <c r="I14" s="8">
        <f t="shared" si="0"/>
        <v>0</v>
      </c>
      <c r="J14" s="85"/>
    </row>
    <row r="15" spans="2:10" x14ac:dyDescent="0.2">
      <c r="B15" s="87"/>
      <c r="C15" s="89"/>
      <c r="D15" s="8"/>
      <c r="E15" s="8"/>
      <c r="F15" s="8"/>
      <c r="G15" s="8"/>
      <c r="H15" s="8"/>
      <c r="I15" s="8"/>
      <c r="J15" s="85"/>
    </row>
    <row r="16" spans="2:10" x14ac:dyDescent="0.2">
      <c r="B16" s="87"/>
      <c r="C16" s="8"/>
      <c r="D16" s="8"/>
      <c r="E16" s="8"/>
      <c r="F16" s="8"/>
      <c r="G16" s="8"/>
      <c r="H16" s="8"/>
      <c r="I16" s="8"/>
      <c r="J16" s="85"/>
    </row>
    <row r="17" spans="2:10" x14ac:dyDescent="0.2">
      <c r="B17" s="87"/>
      <c r="C17" s="8"/>
      <c r="D17" s="8"/>
      <c r="E17" s="8"/>
      <c r="F17" s="8"/>
      <c r="G17" s="8"/>
      <c r="H17" s="8"/>
      <c r="I17" s="8"/>
      <c r="J17" s="85"/>
    </row>
    <row r="18" spans="2:10" ht="13.5" thickBot="1" x14ac:dyDescent="0.25">
      <c r="B18" s="90"/>
      <c r="C18" s="91"/>
      <c r="D18" s="91"/>
      <c r="E18" s="91"/>
      <c r="F18" s="91"/>
      <c r="G18" s="91"/>
      <c r="H18" s="91"/>
      <c r="I18" s="91"/>
      <c r="J18" s="92"/>
    </row>
    <row r="19" spans="2:10" ht="14.25" thickTop="1" thickBot="1" x14ac:dyDescent="0.25"/>
    <row r="20" spans="2:10" ht="15.75" x14ac:dyDescent="0.2">
      <c r="B20" s="1220" t="s">
        <v>231</v>
      </c>
      <c r="C20" s="1221"/>
      <c r="D20" s="1221"/>
      <c r="E20" s="1221"/>
      <c r="F20" s="1221"/>
      <c r="G20" s="1221"/>
      <c r="H20" s="1221"/>
      <c r="I20" s="1221"/>
      <c r="J20" s="1222"/>
    </row>
    <row r="21" spans="2:10" x14ac:dyDescent="0.2">
      <c r="B21" s="99"/>
      <c r="C21" s="8"/>
      <c r="D21" s="8"/>
      <c r="E21" s="8"/>
      <c r="F21" s="8"/>
      <c r="G21" s="8"/>
      <c r="H21" s="8"/>
      <c r="I21" s="8"/>
      <c r="J21" s="100"/>
    </row>
    <row r="22" spans="2:10" x14ac:dyDescent="0.2">
      <c r="B22" s="99"/>
      <c r="C22" s="89" t="s">
        <v>232</v>
      </c>
      <c r="D22" s="104" t="b">
        <v>0</v>
      </c>
      <c r="E22" s="8"/>
      <c r="F22" s="89" t="s">
        <v>234</v>
      </c>
      <c r="G22" s="104" t="b">
        <v>0</v>
      </c>
      <c r="H22" s="8"/>
      <c r="I22" s="89" t="s">
        <v>235</v>
      </c>
      <c r="J22" s="105" t="b">
        <v>0</v>
      </c>
    </row>
    <row r="23" spans="2:10" x14ac:dyDescent="0.2">
      <c r="B23" s="99"/>
      <c r="C23" s="89" t="s">
        <v>233</v>
      </c>
      <c r="D23" s="104" t="b">
        <v>0</v>
      </c>
      <c r="E23" s="8"/>
      <c r="F23" s="89" t="s">
        <v>157</v>
      </c>
      <c r="G23" s="104" t="b">
        <v>0</v>
      </c>
      <c r="H23" s="8"/>
      <c r="I23" s="89" t="s">
        <v>236</v>
      </c>
      <c r="J23" s="105" t="b">
        <v>0</v>
      </c>
    </row>
    <row r="24" spans="2:10" x14ac:dyDescent="0.2">
      <c r="B24" s="99"/>
      <c r="C24" s="89" t="s">
        <v>118</v>
      </c>
      <c r="D24" s="104" t="b">
        <v>0</v>
      </c>
      <c r="E24" s="8"/>
      <c r="F24" s="89" t="s">
        <v>158</v>
      </c>
      <c r="G24" s="104" t="b">
        <v>0</v>
      </c>
      <c r="H24" s="8"/>
      <c r="I24" s="89" t="s">
        <v>159</v>
      </c>
      <c r="J24" s="105" t="b">
        <v>0</v>
      </c>
    </row>
    <row r="25" spans="2:10" x14ac:dyDescent="0.2">
      <c r="B25" s="99"/>
      <c r="C25" s="8"/>
      <c r="D25" s="8"/>
      <c r="E25" s="8"/>
      <c r="F25" s="8"/>
      <c r="G25" s="8"/>
      <c r="H25" s="8"/>
      <c r="I25" s="8"/>
      <c r="J25" s="100"/>
    </row>
    <row r="26" spans="2:10" ht="13.5" thickBot="1" x14ac:dyDescent="0.25">
      <c r="B26" s="101"/>
      <c r="C26" s="102"/>
      <c r="D26" s="102"/>
      <c r="E26" s="102"/>
      <c r="F26" s="102"/>
      <c r="G26" s="102"/>
      <c r="H26" s="102"/>
      <c r="I26" s="102"/>
      <c r="J26" s="103"/>
    </row>
    <row r="28" spans="2:10" hidden="1" x14ac:dyDescent="0.2"/>
    <row r="29" spans="2:10" hidden="1" x14ac:dyDescent="0.2"/>
    <row r="30" spans="2:10" hidden="1" x14ac:dyDescent="0.2"/>
    <row r="31" spans="2:10" hidden="1" x14ac:dyDescent="0.2"/>
    <row r="32" spans="2: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54" spans="2:13" x14ac:dyDescent="0.2">
      <c r="D54" s="225" t="s">
        <v>387</v>
      </c>
      <c r="E54" s="225" t="s">
        <v>388</v>
      </c>
      <c r="F54" s="225" t="s">
        <v>389</v>
      </c>
      <c r="G54" s="225" t="s">
        <v>18</v>
      </c>
      <c r="H54" s="225" t="s">
        <v>53</v>
      </c>
      <c r="I54" s="225" t="s">
        <v>54</v>
      </c>
      <c r="J54" s="225" t="s">
        <v>55</v>
      </c>
      <c r="K54" s="225" t="s">
        <v>56</v>
      </c>
      <c r="L54" s="225" t="s">
        <v>57</v>
      </c>
      <c r="M54" s="225" t="s">
        <v>225</v>
      </c>
    </row>
    <row r="55" spans="2:13" ht="12.75" customHeight="1" x14ac:dyDescent="0.2">
      <c r="B55" s="1214" t="s">
        <v>386</v>
      </c>
      <c r="C55" s="219">
        <v>1</v>
      </c>
      <c r="D55" s="244">
        <v>1</v>
      </c>
      <c r="E55" s="245">
        <v>1</v>
      </c>
      <c r="F55" s="245">
        <v>1</v>
      </c>
      <c r="G55" s="222">
        <f t="shared" ref="G55:G84" si="1">CHOOSE(E55,0,INDEX(Var_Index_RABaseStipend,D55),Var_PA_Doc_BaseStipend_Acad50Percent,Var_PA_NonDoc_BaseStipend_Acad50Percent)*2/9*(CHOOSE(F55,0,11*0.5,11*0.33,9*0.5,9*0.33,4.5*0.5,4.5*0.33))</f>
        <v>0</v>
      </c>
      <c r="H55" s="232">
        <f t="shared" ref="H55:H64" si="2">G55*(1+CHOOSE(E55,0,Var_RAStipendFirstYearPercentageIncrease,Var_PAStipendFirstYearPercentageIncrease,Var_PAStipendFirstYearPercentageIncrease)+CHOOSE(E55,0,Var_RAStipendStartDatePercentageIncrease,Var_PAStipendStartDatePercentageIncrease,Var_PAStipendStartDatePercentageIncrease))</f>
        <v>0</v>
      </c>
      <c r="I55" s="228">
        <f t="shared" ref="I55:I64" si="3">H55*(1+CHOOSE(E55,0,Var_RAStipendSubsequentYearPercentageIncrease,Var_PAStipendSubsequentYearPercentageIncrease,Var_PAStipendSubsequentYearPercentageIncrease))</f>
        <v>0</v>
      </c>
      <c r="J55" s="228">
        <f t="shared" ref="J55:J64" si="4">I55*(1+CHOOSE(E55,0,Var_RAStipendSubsequentYearPercentageIncrease,Var_PAStipendSubsequentYearPercentageIncrease,Var_PAStipendSubsequentYearPercentageIncrease))</f>
        <v>0</v>
      </c>
      <c r="K55" s="228">
        <f t="shared" ref="K55:K64" si="5">J55*(1+CHOOSE(E55,0,Var_RAStipendSubsequentYearPercentageIncrease,Var_PAStipendSubsequentYearPercentageIncrease,Var_PAStipendSubsequentYearPercentageIncrease))</f>
        <v>0</v>
      </c>
      <c r="L55" s="228">
        <f t="shared" ref="L55:L64" si="6">K55*(1+CHOOSE(E55,0,Var_RAStipendSubsequentYearPercentageIncrease,Var_PAStipendSubsequentYearPercentageIncrease,Var_PAStipendSubsequentYearPercentageIncrease))</f>
        <v>0</v>
      </c>
      <c r="M55" s="229">
        <f t="shared" ref="M55:M64" si="7">L55*(1+CHOOSE(E55,0,Var_RAStipendSubsequentYearPercentageIncrease,Var_PAStipendSubsequentYearPercentageIncrease,Var_PAStipendSubsequentYearPercentageIncrease))</f>
        <v>0</v>
      </c>
    </row>
    <row r="56" spans="2:13" x14ac:dyDescent="0.2">
      <c r="B56" s="1214"/>
      <c r="C56" s="219">
        <v>2</v>
      </c>
      <c r="D56" s="246">
        <v>1</v>
      </c>
      <c r="E56" s="247">
        <v>1</v>
      </c>
      <c r="F56" s="247">
        <v>1</v>
      </c>
      <c r="G56" s="223">
        <f t="shared" si="1"/>
        <v>0</v>
      </c>
      <c r="H56" s="233">
        <f t="shared" si="2"/>
        <v>0</v>
      </c>
      <c r="I56" s="230">
        <f t="shared" si="3"/>
        <v>0</v>
      </c>
      <c r="J56" s="230">
        <f t="shared" si="4"/>
        <v>0</v>
      </c>
      <c r="K56" s="230">
        <f t="shared" si="5"/>
        <v>0</v>
      </c>
      <c r="L56" s="230">
        <f t="shared" si="6"/>
        <v>0</v>
      </c>
      <c r="M56" s="231">
        <f t="shared" si="7"/>
        <v>0</v>
      </c>
    </row>
    <row r="57" spans="2:13" x14ac:dyDescent="0.2">
      <c r="B57" s="1214"/>
      <c r="C57" s="219">
        <v>3</v>
      </c>
      <c r="D57" s="246">
        <v>1</v>
      </c>
      <c r="E57" s="247">
        <v>1</v>
      </c>
      <c r="F57" s="247">
        <v>1</v>
      </c>
      <c r="G57" s="223">
        <f t="shared" si="1"/>
        <v>0</v>
      </c>
      <c r="H57" s="233">
        <f t="shared" si="2"/>
        <v>0</v>
      </c>
      <c r="I57" s="230">
        <f t="shared" si="3"/>
        <v>0</v>
      </c>
      <c r="J57" s="230">
        <f t="shared" si="4"/>
        <v>0</v>
      </c>
      <c r="K57" s="230">
        <f t="shared" si="5"/>
        <v>0</v>
      </c>
      <c r="L57" s="230">
        <f t="shared" si="6"/>
        <v>0</v>
      </c>
      <c r="M57" s="231">
        <f t="shared" si="7"/>
        <v>0</v>
      </c>
    </row>
    <row r="58" spans="2:13" x14ac:dyDescent="0.2">
      <c r="B58" s="1214"/>
      <c r="C58" s="219">
        <v>4</v>
      </c>
      <c r="D58" s="246">
        <v>1</v>
      </c>
      <c r="E58" s="247">
        <v>1</v>
      </c>
      <c r="F58" s="247">
        <v>1</v>
      </c>
      <c r="G58" s="223">
        <f t="shared" si="1"/>
        <v>0</v>
      </c>
      <c r="H58" s="233">
        <f t="shared" si="2"/>
        <v>0</v>
      </c>
      <c r="I58" s="230">
        <f t="shared" si="3"/>
        <v>0</v>
      </c>
      <c r="J58" s="230">
        <f t="shared" si="4"/>
        <v>0</v>
      </c>
      <c r="K58" s="230">
        <f t="shared" si="5"/>
        <v>0</v>
      </c>
      <c r="L58" s="230">
        <f t="shared" si="6"/>
        <v>0</v>
      </c>
      <c r="M58" s="231">
        <f t="shared" si="7"/>
        <v>0</v>
      </c>
    </row>
    <row r="59" spans="2:13" x14ac:dyDescent="0.2">
      <c r="B59" s="1214"/>
      <c r="C59" s="219">
        <v>5</v>
      </c>
      <c r="D59" s="246">
        <v>1</v>
      </c>
      <c r="E59" s="247">
        <v>1</v>
      </c>
      <c r="F59" s="247">
        <v>4</v>
      </c>
      <c r="G59" s="223">
        <f t="shared" si="1"/>
        <v>0</v>
      </c>
      <c r="H59" s="233">
        <f t="shared" si="2"/>
        <v>0</v>
      </c>
      <c r="I59" s="230">
        <f t="shared" si="3"/>
        <v>0</v>
      </c>
      <c r="J59" s="230">
        <f t="shared" si="4"/>
        <v>0</v>
      </c>
      <c r="K59" s="230">
        <f t="shared" si="5"/>
        <v>0</v>
      </c>
      <c r="L59" s="230">
        <f t="shared" si="6"/>
        <v>0</v>
      </c>
      <c r="M59" s="231">
        <f t="shared" si="7"/>
        <v>0</v>
      </c>
    </row>
    <row r="60" spans="2:13" x14ac:dyDescent="0.2">
      <c r="B60" s="1214" t="s">
        <v>437</v>
      </c>
      <c r="C60" s="219">
        <v>1</v>
      </c>
      <c r="D60" s="244">
        <v>1</v>
      </c>
      <c r="E60" s="245">
        <v>1</v>
      </c>
      <c r="F60" s="245">
        <v>1</v>
      </c>
      <c r="G60" s="222">
        <f t="shared" si="1"/>
        <v>0</v>
      </c>
      <c r="H60" s="222">
        <f t="shared" si="2"/>
        <v>0</v>
      </c>
      <c r="I60" s="232">
        <f t="shared" si="3"/>
        <v>0</v>
      </c>
      <c r="J60" s="228">
        <f t="shared" si="4"/>
        <v>0</v>
      </c>
      <c r="K60" s="228">
        <f t="shared" si="5"/>
        <v>0</v>
      </c>
      <c r="L60" s="228">
        <f t="shared" si="6"/>
        <v>0</v>
      </c>
      <c r="M60" s="229">
        <f t="shared" si="7"/>
        <v>0</v>
      </c>
    </row>
    <row r="61" spans="2:13" x14ac:dyDescent="0.2">
      <c r="B61" s="1214"/>
      <c r="C61" s="219">
        <v>2</v>
      </c>
      <c r="D61" s="246">
        <v>1</v>
      </c>
      <c r="E61" s="247">
        <v>1</v>
      </c>
      <c r="F61" s="247">
        <v>1</v>
      </c>
      <c r="G61" s="223">
        <f t="shared" si="1"/>
        <v>0</v>
      </c>
      <c r="H61" s="223">
        <f t="shared" si="2"/>
        <v>0</v>
      </c>
      <c r="I61" s="233">
        <f t="shared" si="3"/>
        <v>0</v>
      </c>
      <c r="J61" s="230">
        <f t="shared" si="4"/>
        <v>0</v>
      </c>
      <c r="K61" s="230">
        <f t="shared" si="5"/>
        <v>0</v>
      </c>
      <c r="L61" s="230">
        <f t="shared" si="6"/>
        <v>0</v>
      </c>
      <c r="M61" s="231">
        <f t="shared" si="7"/>
        <v>0</v>
      </c>
    </row>
    <row r="62" spans="2:13" x14ac:dyDescent="0.2">
      <c r="B62" s="1214"/>
      <c r="C62" s="219">
        <v>3</v>
      </c>
      <c r="D62" s="246">
        <v>1</v>
      </c>
      <c r="E62" s="247">
        <v>1</v>
      </c>
      <c r="F62" s="247">
        <v>1</v>
      </c>
      <c r="G62" s="223">
        <f t="shared" si="1"/>
        <v>0</v>
      </c>
      <c r="H62" s="223">
        <f t="shared" si="2"/>
        <v>0</v>
      </c>
      <c r="I62" s="233">
        <f t="shared" si="3"/>
        <v>0</v>
      </c>
      <c r="J62" s="230">
        <f t="shared" si="4"/>
        <v>0</v>
      </c>
      <c r="K62" s="230">
        <f t="shared" si="5"/>
        <v>0</v>
      </c>
      <c r="L62" s="230">
        <f t="shared" si="6"/>
        <v>0</v>
      </c>
      <c r="M62" s="231">
        <f t="shared" si="7"/>
        <v>0</v>
      </c>
    </row>
    <row r="63" spans="2:13" x14ac:dyDescent="0.2">
      <c r="B63" s="1214"/>
      <c r="C63" s="219">
        <v>4</v>
      </c>
      <c r="D63" s="246">
        <v>1</v>
      </c>
      <c r="E63" s="247">
        <v>1</v>
      </c>
      <c r="F63" s="247">
        <v>1</v>
      </c>
      <c r="G63" s="223">
        <f t="shared" si="1"/>
        <v>0</v>
      </c>
      <c r="H63" s="223">
        <f t="shared" si="2"/>
        <v>0</v>
      </c>
      <c r="I63" s="233">
        <f t="shared" si="3"/>
        <v>0</v>
      </c>
      <c r="J63" s="230">
        <f t="shared" si="4"/>
        <v>0</v>
      </c>
      <c r="K63" s="230">
        <f t="shared" si="5"/>
        <v>0</v>
      </c>
      <c r="L63" s="230">
        <f t="shared" si="6"/>
        <v>0</v>
      </c>
      <c r="M63" s="231">
        <f t="shared" si="7"/>
        <v>0</v>
      </c>
    </row>
    <row r="64" spans="2:13" x14ac:dyDescent="0.2">
      <c r="B64" s="1214"/>
      <c r="C64" s="219">
        <v>5</v>
      </c>
      <c r="D64" s="246">
        <v>1</v>
      </c>
      <c r="E64" s="247">
        <v>1</v>
      </c>
      <c r="F64" s="247">
        <v>1</v>
      </c>
      <c r="G64" s="223">
        <f t="shared" si="1"/>
        <v>0</v>
      </c>
      <c r="H64" s="223">
        <f t="shared" si="2"/>
        <v>0</v>
      </c>
      <c r="I64" s="233">
        <f t="shared" si="3"/>
        <v>0</v>
      </c>
      <c r="J64" s="230">
        <f t="shared" si="4"/>
        <v>0</v>
      </c>
      <c r="K64" s="230">
        <f t="shared" si="5"/>
        <v>0</v>
      </c>
      <c r="L64" s="230">
        <f t="shared" si="6"/>
        <v>0</v>
      </c>
      <c r="M64" s="231">
        <f t="shared" si="7"/>
        <v>0</v>
      </c>
    </row>
    <row r="65" spans="2:13" x14ac:dyDescent="0.2">
      <c r="B65" s="1214" t="s">
        <v>438</v>
      </c>
      <c r="C65" s="219">
        <v>1</v>
      </c>
      <c r="D65" s="244">
        <v>1</v>
      </c>
      <c r="E65" s="245">
        <v>1</v>
      </c>
      <c r="F65" s="245">
        <v>1</v>
      </c>
      <c r="G65" s="222">
        <f t="shared" si="1"/>
        <v>0</v>
      </c>
      <c r="H65" s="222">
        <f t="shared" ref="H65:H84" si="8">G65*(1+CHOOSE(E65,0,Var_RAStipendFirstYearPercentageIncrease,Var_PAStipendFirstYearPercentageIncrease,Var_PAStipendFirstYearPercentageIncrease)+CHOOSE(E65,0,Var_RAStipendStartDatePercentageIncrease,Var_PAStipendStartDatePercentageIncrease,Var_PAStipendStartDatePercentageIncrease))</f>
        <v>0</v>
      </c>
      <c r="I65" s="222">
        <f t="shared" ref="I65:I84" si="9">H65*(1+CHOOSE(E65,0,Var_RAStipendSubsequentYearPercentageIncrease,Var_PAStipendSubsequentYearPercentageIncrease,Var_PAStipendSubsequentYearPercentageIncrease))</f>
        <v>0</v>
      </c>
      <c r="J65" s="232">
        <f t="shared" ref="J65:J84" si="10">I65*(1+CHOOSE(E65,0,Var_RAStipendSubsequentYearPercentageIncrease,Var_PAStipendSubsequentYearPercentageIncrease,Var_PAStipendSubsequentYearPercentageIncrease))</f>
        <v>0</v>
      </c>
      <c r="K65" s="228">
        <f t="shared" ref="K65:K84" si="11">J65*(1+CHOOSE(E65,0,Var_RAStipendSubsequentYearPercentageIncrease,Var_PAStipendSubsequentYearPercentageIncrease,Var_PAStipendSubsequentYearPercentageIncrease))</f>
        <v>0</v>
      </c>
      <c r="L65" s="228">
        <f t="shared" ref="L65:L84" si="12">K65*(1+CHOOSE(E65,0,Var_RAStipendSubsequentYearPercentageIncrease,Var_PAStipendSubsequentYearPercentageIncrease,Var_PAStipendSubsequentYearPercentageIncrease))</f>
        <v>0</v>
      </c>
      <c r="M65" s="229">
        <f t="shared" ref="M65:M84" si="13">L65*(1+CHOOSE(E65,0,Var_RAStipendSubsequentYearPercentageIncrease,Var_PAStipendSubsequentYearPercentageIncrease,Var_PAStipendSubsequentYearPercentageIncrease))</f>
        <v>0</v>
      </c>
    </row>
    <row r="66" spans="2:13" x14ac:dyDescent="0.2">
      <c r="B66" s="1214"/>
      <c r="C66" s="219">
        <v>2</v>
      </c>
      <c r="D66" s="246">
        <v>1</v>
      </c>
      <c r="E66" s="247">
        <v>1</v>
      </c>
      <c r="F66" s="247">
        <v>1</v>
      </c>
      <c r="G66" s="223">
        <f t="shared" si="1"/>
        <v>0</v>
      </c>
      <c r="H66" s="223">
        <f t="shared" si="8"/>
        <v>0</v>
      </c>
      <c r="I66" s="223">
        <f t="shared" si="9"/>
        <v>0</v>
      </c>
      <c r="J66" s="233">
        <f t="shared" si="10"/>
        <v>0</v>
      </c>
      <c r="K66" s="230">
        <f t="shared" si="11"/>
        <v>0</v>
      </c>
      <c r="L66" s="230">
        <f t="shared" si="12"/>
        <v>0</v>
      </c>
      <c r="M66" s="231">
        <f t="shared" si="13"/>
        <v>0</v>
      </c>
    </row>
    <row r="67" spans="2:13" x14ac:dyDescent="0.2">
      <c r="B67" s="1214"/>
      <c r="C67" s="219">
        <v>3</v>
      </c>
      <c r="D67" s="246">
        <v>1</v>
      </c>
      <c r="E67" s="247">
        <v>1</v>
      </c>
      <c r="F67" s="247">
        <v>1</v>
      </c>
      <c r="G67" s="223">
        <f t="shared" si="1"/>
        <v>0</v>
      </c>
      <c r="H67" s="223">
        <f t="shared" si="8"/>
        <v>0</v>
      </c>
      <c r="I67" s="223">
        <f t="shared" si="9"/>
        <v>0</v>
      </c>
      <c r="J67" s="233">
        <f t="shared" si="10"/>
        <v>0</v>
      </c>
      <c r="K67" s="230">
        <f t="shared" si="11"/>
        <v>0</v>
      </c>
      <c r="L67" s="230">
        <f t="shared" si="12"/>
        <v>0</v>
      </c>
      <c r="M67" s="231">
        <f t="shared" si="13"/>
        <v>0</v>
      </c>
    </row>
    <row r="68" spans="2:13" x14ac:dyDescent="0.2">
      <c r="B68" s="1214"/>
      <c r="C68" s="219">
        <v>4</v>
      </c>
      <c r="D68" s="246">
        <v>1</v>
      </c>
      <c r="E68" s="247">
        <v>1</v>
      </c>
      <c r="F68" s="247">
        <v>1</v>
      </c>
      <c r="G68" s="223">
        <f t="shared" si="1"/>
        <v>0</v>
      </c>
      <c r="H68" s="223">
        <f t="shared" si="8"/>
        <v>0</v>
      </c>
      <c r="I68" s="223">
        <f t="shared" si="9"/>
        <v>0</v>
      </c>
      <c r="J68" s="233">
        <f t="shared" si="10"/>
        <v>0</v>
      </c>
      <c r="K68" s="230">
        <f t="shared" si="11"/>
        <v>0</v>
      </c>
      <c r="L68" s="230">
        <f t="shared" si="12"/>
        <v>0</v>
      </c>
      <c r="M68" s="231">
        <f t="shared" si="13"/>
        <v>0</v>
      </c>
    </row>
    <row r="69" spans="2:13" x14ac:dyDescent="0.2">
      <c r="B69" s="1214"/>
      <c r="C69" s="219">
        <v>5</v>
      </c>
      <c r="D69" s="246">
        <v>1</v>
      </c>
      <c r="E69" s="247">
        <v>1</v>
      </c>
      <c r="F69" s="247">
        <v>1</v>
      </c>
      <c r="G69" s="223">
        <f t="shared" si="1"/>
        <v>0</v>
      </c>
      <c r="H69" s="223">
        <f t="shared" si="8"/>
        <v>0</v>
      </c>
      <c r="I69" s="223">
        <f t="shared" si="9"/>
        <v>0</v>
      </c>
      <c r="J69" s="233">
        <f t="shared" si="10"/>
        <v>0</v>
      </c>
      <c r="K69" s="230">
        <f t="shared" si="11"/>
        <v>0</v>
      </c>
      <c r="L69" s="230">
        <f t="shared" si="12"/>
        <v>0</v>
      </c>
      <c r="M69" s="231">
        <f t="shared" si="13"/>
        <v>0</v>
      </c>
    </row>
    <row r="70" spans="2:13" x14ac:dyDescent="0.2">
      <c r="B70" s="1214" t="s">
        <v>439</v>
      </c>
      <c r="C70" s="219">
        <v>1</v>
      </c>
      <c r="D70" s="244">
        <v>1</v>
      </c>
      <c r="E70" s="245">
        <v>1</v>
      </c>
      <c r="F70" s="245">
        <v>1</v>
      </c>
      <c r="G70" s="222">
        <f t="shared" si="1"/>
        <v>0</v>
      </c>
      <c r="H70" s="222">
        <f t="shared" si="8"/>
        <v>0</v>
      </c>
      <c r="I70" s="222">
        <f t="shared" si="9"/>
        <v>0</v>
      </c>
      <c r="J70" s="222">
        <f t="shared" si="10"/>
        <v>0</v>
      </c>
      <c r="K70" s="232">
        <f t="shared" si="11"/>
        <v>0</v>
      </c>
      <c r="L70" s="228">
        <f t="shared" si="12"/>
        <v>0</v>
      </c>
      <c r="M70" s="229">
        <f t="shared" si="13"/>
        <v>0</v>
      </c>
    </row>
    <row r="71" spans="2:13" x14ac:dyDescent="0.2">
      <c r="B71" s="1214"/>
      <c r="C71" s="219">
        <v>2</v>
      </c>
      <c r="D71" s="246">
        <v>1</v>
      </c>
      <c r="E71" s="247">
        <v>1</v>
      </c>
      <c r="F71" s="247">
        <v>1</v>
      </c>
      <c r="G71" s="223">
        <f t="shared" si="1"/>
        <v>0</v>
      </c>
      <c r="H71" s="223">
        <f t="shared" si="8"/>
        <v>0</v>
      </c>
      <c r="I71" s="223">
        <f t="shared" si="9"/>
        <v>0</v>
      </c>
      <c r="J71" s="223">
        <f t="shared" si="10"/>
        <v>0</v>
      </c>
      <c r="K71" s="233">
        <f t="shared" si="11"/>
        <v>0</v>
      </c>
      <c r="L71" s="230">
        <f t="shared" si="12"/>
        <v>0</v>
      </c>
      <c r="M71" s="231">
        <f t="shared" si="13"/>
        <v>0</v>
      </c>
    </row>
    <row r="72" spans="2:13" x14ac:dyDescent="0.2">
      <c r="B72" s="1214"/>
      <c r="C72" s="219">
        <v>3</v>
      </c>
      <c r="D72" s="246">
        <v>1</v>
      </c>
      <c r="E72" s="247">
        <v>1</v>
      </c>
      <c r="F72" s="247">
        <v>1</v>
      </c>
      <c r="G72" s="223">
        <f t="shared" si="1"/>
        <v>0</v>
      </c>
      <c r="H72" s="223">
        <f t="shared" si="8"/>
        <v>0</v>
      </c>
      <c r="I72" s="223">
        <f t="shared" si="9"/>
        <v>0</v>
      </c>
      <c r="J72" s="223">
        <f t="shared" si="10"/>
        <v>0</v>
      </c>
      <c r="K72" s="233">
        <f t="shared" si="11"/>
        <v>0</v>
      </c>
      <c r="L72" s="230">
        <f t="shared" si="12"/>
        <v>0</v>
      </c>
      <c r="M72" s="231">
        <f t="shared" si="13"/>
        <v>0</v>
      </c>
    </row>
    <row r="73" spans="2:13" x14ac:dyDescent="0.2">
      <c r="B73" s="1214"/>
      <c r="C73" s="219">
        <v>4</v>
      </c>
      <c r="D73" s="246">
        <v>1</v>
      </c>
      <c r="E73" s="247">
        <v>1</v>
      </c>
      <c r="F73" s="247">
        <v>1</v>
      </c>
      <c r="G73" s="223">
        <f t="shared" si="1"/>
        <v>0</v>
      </c>
      <c r="H73" s="223">
        <f t="shared" si="8"/>
        <v>0</v>
      </c>
      <c r="I73" s="223">
        <f t="shared" si="9"/>
        <v>0</v>
      </c>
      <c r="J73" s="223">
        <f t="shared" si="10"/>
        <v>0</v>
      </c>
      <c r="K73" s="233">
        <f t="shared" si="11"/>
        <v>0</v>
      </c>
      <c r="L73" s="230">
        <f t="shared" si="12"/>
        <v>0</v>
      </c>
      <c r="M73" s="231">
        <f t="shared" si="13"/>
        <v>0</v>
      </c>
    </row>
    <row r="74" spans="2:13" x14ac:dyDescent="0.2">
      <c r="B74" s="1214"/>
      <c r="C74" s="219">
        <v>5</v>
      </c>
      <c r="D74" s="246">
        <v>1</v>
      </c>
      <c r="E74" s="247">
        <v>1</v>
      </c>
      <c r="F74" s="247">
        <v>1</v>
      </c>
      <c r="G74" s="223">
        <f t="shared" si="1"/>
        <v>0</v>
      </c>
      <c r="H74" s="223">
        <f t="shared" si="8"/>
        <v>0</v>
      </c>
      <c r="I74" s="223">
        <f t="shared" si="9"/>
        <v>0</v>
      </c>
      <c r="J74" s="223">
        <f t="shared" si="10"/>
        <v>0</v>
      </c>
      <c r="K74" s="233">
        <f t="shared" si="11"/>
        <v>0</v>
      </c>
      <c r="L74" s="230">
        <f t="shared" si="12"/>
        <v>0</v>
      </c>
      <c r="M74" s="231">
        <f t="shared" si="13"/>
        <v>0</v>
      </c>
    </row>
    <row r="75" spans="2:13" x14ac:dyDescent="0.2">
      <c r="B75" s="1214" t="s">
        <v>440</v>
      </c>
      <c r="C75" s="219">
        <v>1</v>
      </c>
      <c r="D75" s="244">
        <v>1</v>
      </c>
      <c r="E75" s="245">
        <v>1</v>
      </c>
      <c r="F75" s="245">
        <v>1</v>
      </c>
      <c r="G75" s="222">
        <f t="shared" si="1"/>
        <v>0</v>
      </c>
      <c r="H75" s="222">
        <f t="shared" si="8"/>
        <v>0</v>
      </c>
      <c r="I75" s="222">
        <f t="shared" si="9"/>
        <v>0</v>
      </c>
      <c r="J75" s="222">
        <f t="shared" si="10"/>
        <v>0</v>
      </c>
      <c r="K75" s="222">
        <f t="shared" si="11"/>
        <v>0</v>
      </c>
      <c r="L75" s="232">
        <f t="shared" si="12"/>
        <v>0</v>
      </c>
      <c r="M75" s="229">
        <f t="shared" si="13"/>
        <v>0</v>
      </c>
    </row>
    <row r="76" spans="2:13" x14ac:dyDescent="0.2">
      <c r="B76" s="1214"/>
      <c r="C76" s="219">
        <v>2</v>
      </c>
      <c r="D76" s="246">
        <v>1</v>
      </c>
      <c r="E76" s="247">
        <v>1</v>
      </c>
      <c r="F76" s="247">
        <v>1</v>
      </c>
      <c r="G76" s="223">
        <f t="shared" si="1"/>
        <v>0</v>
      </c>
      <c r="H76" s="223">
        <f t="shared" si="8"/>
        <v>0</v>
      </c>
      <c r="I76" s="223">
        <f t="shared" si="9"/>
        <v>0</v>
      </c>
      <c r="J76" s="223">
        <f t="shared" si="10"/>
        <v>0</v>
      </c>
      <c r="K76" s="223">
        <f t="shared" si="11"/>
        <v>0</v>
      </c>
      <c r="L76" s="233">
        <f t="shared" si="12"/>
        <v>0</v>
      </c>
      <c r="M76" s="231">
        <f t="shared" si="13"/>
        <v>0</v>
      </c>
    </row>
    <row r="77" spans="2:13" x14ac:dyDescent="0.2">
      <c r="B77" s="1214"/>
      <c r="C77" s="219">
        <v>3</v>
      </c>
      <c r="D77" s="246">
        <v>1</v>
      </c>
      <c r="E77" s="247">
        <v>1</v>
      </c>
      <c r="F77" s="247">
        <v>1</v>
      </c>
      <c r="G77" s="223">
        <f t="shared" si="1"/>
        <v>0</v>
      </c>
      <c r="H77" s="223">
        <f t="shared" si="8"/>
        <v>0</v>
      </c>
      <c r="I77" s="223">
        <f t="shared" si="9"/>
        <v>0</v>
      </c>
      <c r="J77" s="223">
        <f t="shared" si="10"/>
        <v>0</v>
      </c>
      <c r="K77" s="223">
        <f t="shared" si="11"/>
        <v>0</v>
      </c>
      <c r="L77" s="233">
        <f t="shared" si="12"/>
        <v>0</v>
      </c>
      <c r="M77" s="231">
        <f t="shared" si="13"/>
        <v>0</v>
      </c>
    </row>
    <row r="78" spans="2:13" x14ac:dyDescent="0.2">
      <c r="B78" s="1214"/>
      <c r="C78" s="219">
        <v>4</v>
      </c>
      <c r="D78" s="246">
        <v>1</v>
      </c>
      <c r="E78" s="247">
        <v>1</v>
      </c>
      <c r="F78" s="247">
        <v>1</v>
      </c>
      <c r="G78" s="223">
        <f t="shared" si="1"/>
        <v>0</v>
      </c>
      <c r="H78" s="223">
        <f t="shared" si="8"/>
        <v>0</v>
      </c>
      <c r="I78" s="223">
        <f t="shared" si="9"/>
        <v>0</v>
      </c>
      <c r="J78" s="223">
        <f t="shared" si="10"/>
        <v>0</v>
      </c>
      <c r="K78" s="223">
        <f t="shared" si="11"/>
        <v>0</v>
      </c>
      <c r="L78" s="233">
        <f t="shared" si="12"/>
        <v>0</v>
      </c>
      <c r="M78" s="231">
        <f t="shared" si="13"/>
        <v>0</v>
      </c>
    </row>
    <row r="79" spans="2:13" x14ac:dyDescent="0.2">
      <c r="B79" s="1214"/>
      <c r="C79" s="219">
        <v>5</v>
      </c>
      <c r="D79" s="246">
        <v>1</v>
      </c>
      <c r="E79" s="247">
        <v>1</v>
      </c>
      <c r="F79" s="247">
        <v>1</v>
      </c>
      <c r="G79" s="223">
        <f t="shared" si="1"/>
        <v>0</v>
      </c>
      <c r="H79" s="223">
        <f t="shared" si="8"/>
        <v>0</v>
      </c>
      <c r="I79" s="223">
        <f t="shared" si="9"/>
        <v>0</v>
      </c>
      <c r="J79" s="223">
        <f t="shared" si="10"/>
        <v>0</v>
      </c>
      <c r="K79" s="223">
        <f t="shared" si="11"/>
        <v>0</v>
      </c>
      <c r="L79" s="233">
        <f t="shared" si="12"/>
        <v>0</v>
      </c>
      <c r="M79" s="231">
        <f t="shared" si="13"/>
        <v>0</v>
      </c>
    </row>
    <row r="80" spans="2:13" x14ac:dyDescent="0.2">
      <c r="B80" s="1214" t="s">
        <v>441</v>
      </c>
      <c r="C80" s="219">
        <v>1</v>
      </c>
      <c r="D80" s="244">
        <v>1</v>
      </c>
      <c r="E80" s="245">
        <v>1</v>
      </c>
      <c r="F80" s="245">
        <v>1</v>
      </c>
      <c r="G80" s="222">
        <f t="shared" si="1"/>
        <v>0</v>
      </c>
      <c r="H80" s="222">
        <f t="shared" si="8"/>
        <v>0</v>
      </c>
      <c r="I80" s="222">
        <f t="shared" si="9"/>
        <v>0</v>
      </c>
      <c r="J80" s="222">
        <f t="shared" si="10"/>
        <v>0</v>
      </c>
      <c r="K80" s="222">
        <f t="shared" si="11"/>
        <v>0</v>
      </c>
      <c r="L80" s="222">
        <f t="shared" si="12"/>
        <v>0</v>
      </c>
      <c r="M80" s="234">
        <f t="shared" si="13"/>
        <v>0</v>
      </c>
    </row>
    <row r="81" spans="2:13" x14ac:dyDescent="0.2">
      <c r="B81" s="1214"/>
      <c r="C81" s="219">
        <v>2</v>
      </c>
      <c r="D81" s="246">
        <v>1</v>
      </c>
      <c r="E81" s="247">
        <v>1</v>
      </c>
      <c r="F81" s="247">
        <v>1</v>
      </c>
      <c r="G81" s="223">
        <f t="shared" si="1"/>
        <v>0</v>
      </c>
      <c r="H81" s="223">
        <f t="shared" si="8"/>
        <v>0</v>
      </c>
      <c r="I81" s="223">
        <f t="shared" si="9"/>
        <v>0</v>
      </c>
      <c r="J81" s="223">
        <f t="shared" si="10"/>
        <v>0</v>
      </c>
      <c r="K81" s="223">
        <f t="shared" si="11"/>
        <v>0</v>
      </c>
      <c r="L81" s="223">
        <f t="shared" si="12"/>
        <v>0</v>
      </c>
      <c r="M81" s="235">
        <f t="shared" si="13"/>
        <v>0</v>
      </c>
    </row>
    <row r="82" spans="2:13" x14ac:dyDescent="0.2">
      <c r="B82" s="1214"/>
      <c r="C82" s="219">
        <v>3</v>
      </c>
      <c r="D82" s="246">
        <v>1</v>
      </c>
      <c r="E82" s="247">
        <v>1</v>
      </c>
      <c r="F82" s="247">
        <v>1</v>
      </c>
      <c r="G82" s="223">
        <f t="shared" si="1"/>
        <v>0</v>
      </c>
      <c r="H82" s="223">
        <f t="shared" si="8"/>
        <v>0</v>
      </c>
      <c r="I82" s="223">
        <f t="shared" si="9"/>
        <v>0</v>
      </c>
      <c r="J82" s="223">
        <f t="shared" si="10"/>
        <v>0</v>
      </c>
      <c r="K82" s="223">
        <f t="shared" si="11"/>
        <v>0</v>
      </c>
      <c r="L82" s="223">
        <f t="shared" si="12"/>
        <v>0</v>
      </c>
      <c r="M82" s="235">
        <f t="shared" si="13"/>
        <v>0</v>
      </c>
    </row>
    <row r="83" spans="2:13" x14ac:dyDescent="0.2">
      <c r="B83" s="1214"/>
      <c r="C83" s="219">
        <v>4</v>
      </c>
      <c r="D83" s="246">
        <v>1</v>
      </c>
      <c r="E83" s="247">
        <v>1</v>
      </c>
      <c r="F83" s="247">
        <v>1</v>
      </c>
      <c r="G83" s="223">
        <f t="shared" si="1"/>
        <v>0</v>
      </c>
      <c r="H83" s="223">
        <f t="shared" si="8"/>
        <v>0</v>
      </c>
      <c r="I83" s="223">
        <f t="shared" si="9"/>
        <v>0</v>
      </c>
      <c r="J83" s="223">
        <f t="shared" si="10"/>
        <v>0</v>
      </c>
      <c r="K83" s="223">
        <f t="shared" si="11"/>
        <v>0</v>
      </c>
      <c r="L83" s="223">
        <f t="shared" si="12"/>
        <v>0</v>
      </c>
      <c r="M83" s="235">
        <f t="shared" si="13"/>
        <v>0</v>
      </c>
    </row>
    <row r="84" spans="2:13" x14ac:dyDescent="0.2">
      <c r="B84" s="1214"/>
      <c r="C84" s="219">
        <v>5</v>
      </c>
      <c r="D84" s="248">
        <v>1</v>
      </c>
      <c r="E84" s="249">
        <v>1</v>
      </c>
      <c r="F84" s="249">
        <v>1</v>
      </c>
      <c r="G84" s="224">
        <f t="shared" si="1"/>
        <v>0</v>
      </c>
      <c r="H84" s="224">
        <f t="shared" si="8"/>
        <v>0</v>
      </c>
      <c r="I84" s="224">
        <f t="shared" si="9"/>
        <v>0</v>
      </c>
      <c r="J84" s="224">
        <f t="shared" si="10"/>
        <v>0</v>
      </c>
      <c r="K84" s="224">
        <f t="shared" si="11"/>
        <v>0</v>
      </c>
      <c r="L84" s="224">
        <f t="shared" si="12"/>
        <v>0</v>
      </c>
      <c r="M84" s="236">
        <f t="shared" si="13"/>
        <v>0</v>
      </c>
    </row>
  </sheetData>
  <sheetProtection algorithmName="SHA-512" hashValue="Ne6bEvLcTJqfZbNhGhLQdhc46CO4IV84bvyuvpvSc+0ghuwe2fWI0ehMeHVdacWoBsGMAnU97ldeYzr2B5PIsw==" saltValue="2ywm5cHY39ioquFjTVbcBg==" spinCount="100000" sheet="1" selectLockedCells="1" selectUnlockedCells="1"/>
  <mergeCells count="11">
    <mergeCell ref="B80:B84"/>
    <mergeCell ref="B2:J2"/>
    <mergeCell ref="B55:B59"/>
    <mergeCell ref="F3:G3"/>
    <mergeCell ref="F5:G5"/>
    <mergeCell ref="B4:I4"/>
    <mergeCell ref="B20:J20"/>
    <mergeCell ref="B60:B64"/>
    <mergeCell ref="B65:B69"/>
    <mergeCell ref="B70:B74"/>
    <mergeCell ref="B75:B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5" tint="-0.249977111117893"/>
    <pageSetUpPr fitToPage="1"/>
  </sheetPr>
  <dimension ref="B1:AM148"/>
  <sheetViews>
    <sheetView showGridLines="0" tabSelected="1" zoomScaleNormal="100" workbookViewId="0">
      <selection activeCell="I9" sqref="I9:S9"/>
    </sheetView>
  </sheetViews>
  <sheetFormatPr defaultColWidth="9.28515625" defaultRowHeight="12.75" x14ac:dyDescent="0.2"/>
  <cols>
    <col min="1" max="1" width="2.7109375" customWidth="1"/>
    <col min="2" max="2" width="0.7109375" customWidth="1"/>
    <col min="3" max="20" width="5.7109375" customWidth="1"/>
    <col min="21" max="21" width="0.7109375" customWidth="1"/>
    <col min="22" max="22" width="5.7109375" customWidth="1"/>
  </cols>
  <sheetData>
    <row r="1" spans="2:21" ht="15" customHeight="1" x14ac:dyDescent="0.2"/>
    <row r="2" spans="2:21" ht="5.0999999999999996" customHeight="1" thickBot="1" x14ac:dyDescent="0.25">
      <c r="B2" s="1"/>
      <c r="C2" s="2"/>
      <c r="D2" s="2"/>
      <c r="E2" s="2"/>
      <c r="F2" s="2"/>
      <c r="G2" s="2"/>
      <c r="H2" s="2"/>
      <c r="I2" s="2"/>
      <c r="J2" s="2"/>
      <c r="K2" s="2"/>
      <c r="L2" s="2"/>
      <c r="M2" s="2"/>
      <c r="N2" s="2"/>
      <c r="O2" s="2"/>
      <c r="P2" s="2"/>
      <c r="Q2" s="2"/>
      <c r="R2" s="2"/>
      <c r="S2" s="2"/>
      <c r="T2" s="2"/>
      <c r="U2" s="3"/>
    </row>
    <row r="3" spans="2:21" x14ac:dyDescent="0.2">
      <c r="B3" s="4"/>
      <c r="C3" s="162"/>
      <c r="D3" s="163"/>
      <c r="E3" s="163"/>
      <c r="F3" s="163"/>
      <c r="G3" s="163"/>
      <c r="H3" s="163"/>
      <c r="I3" s="163"/>
      <c r="J3" s="163"/>
      <c r="K3" s="163"/>
      <c r="L3" s="163"/>
      <c r="M3" s="163"/>
      <c r="N3" s="163"/>
      <c r="O3" s="163"/>
      <c r="P3" s="163"/>
      <c r="Q3" s="209"/>
      <c r="R3" s="210" t="s">
        <v>447</v>
      </c>
      <c r="S3" s="411">
        <v>44910</v>
      </c>
      <c r="T3" s="412"/>
      <c r="U3" s="5"/>
    </row>
    <row r="4" spans="2:21" ht="15.75" x14ac:dyDescent="0.2">
      <c r="B4" s="4"/>
      <c r="C4" s="413" t="s">
        <v>0</v>
      </c>
      <c r="D4" s="414"/>
      <c r="E4" s="414"/>
      <c r="F4" s="414"/>
      <c r="G4" s="414"/>
      <c r="H4" s="414"/>
      <c r="I4" s="414"/>
      <c r="J4" s="414"/>
      <c r="K4" s="414"/>
      <c r="L4" s="414"/>
      <c r="M4" s="414"/>
      <c r="N4" s="414"/>
      <c r="O4" s="414"/>
      <c r="P4" s="414"/>
      <c r="Q4" s="414"/>
      <c r="R4" s="414"/>
      <c r="S4" s="414"/>
      <c r="T4" s="415"/>
      <c r="U4" s="5"/>
    </row>
    <row r="5" spans="2:21" ht="15.75" x14ac:dyDescent="0.2">
      <c r="B5" s="4"/>
      <c r="C5" s="416" t="s">
        <v>477</v>
      </c>
      <c r="D5" s="417"/>
      <c r="E5" s="417"/>
      <c r="F5" s="417"/>
      <c r="G5" s="417"/>
      <c r="H5" s="417"/>
      <c r="I5" s="417"/>
      <c r="J5" s="417"/>
      <c r="K5" s="417"/>
      <c r="L5" s="417"/>
      <c r="M5" s="417"/>
      <c r="N5" s="417"/>
      <c r="O5" s="417"/>
      <c r="P5" s="417"/>
      <c r="Q5" s="417"/>
      <c r="R5" s="417"/>
      <c r="S5" s="417"/>
      <c r="T5" s="418"/>
      <c r="U5" s="5"/>
    </row>
    <row r="6" spans="2:21" ht="15.75" x14ac:dyDescent="0.2">
      <c r="B6" s="4"/>
      <c r="C6" s="416" t="s">
        <v>2</v>
      </c>
      <c r="D6" s="417"/>
      <c r="E6" s="417"/>
      <c r="F6" s="417"/>
      <c r="G6" s="417"/>
      <c r="H6" s="417"/>
      <c r="I6" s="417"/>
      <c r="J6" s="417"/>
      <c r="K6" s="417"/>
      <c r="L6" s="417"/>
      <c r="M6" s="417"/>
      <c r="N6" s="417"/>
      <c r="O6" s="417"/>
      <c r="P6" s="417"/>
      <c r="Q6" s="417"/>
      <c r="R6" s="417"/>
      <c r="S6" s="417"/>
      <c r="T6" s="418"/>
      <c r="U6" s="5"/>
    </row>
    <row r="7" spans="2:21" ht="13.5" thickBot="1" x14ac:dyDescent="0.25">
      <c r="B7" s="4"/>
      <c r="C7" s="419"/>
      <c r="D7" s="420"/>
      <c r="E7" s="420"/>
      <c r="F7" s="420"/>
      <c r="G7" s="420"/>
      <c r="H7" s="420"/>
      <c r="I7" s="420"/>
      <c r="J7" s="420"/>
      <c r="K7" s="420"/>
      <c r="L7" s="420"/>
      <c r="M7" s="420"/>
      <c r="N7" s="420"/>
      <c r="O7" s="420"/>
      <c r="P7" s="420"/>
      <c r="Q7" s="420"/>
      <c r="R7" s="420"/>
      <c r="S7" s="420"/>
      <c r="T7" s="421"/>
      <c r="U7" s="5"/>
    </row>
    <row r="8" spans="2:21" x14ac:dyDescent="0.2">
      <c r="B8" s="6"/>
      <c r="C8" s="137"/>
      <c r="D8" s="137"/>
      <c r="E8" s="137"/>
      <c r="F8" s="137"/>
      <c r="G8" s="137"/>
      <c r="H8" s="137"/>
      <c r="I8" s="137"/>
      <c r="J8" s="137"/>
      <c r="K8" s="137"/>
      <c r="L8" s="137"/>
      <c r="M8" s="137"/>
      <c r="N8" s="137"/>
      <c r="O8" s="137"/>
      <c r="P8" s="137"/>
      <c r="Q8" s="137"/>
      <c r="R8" s="137"/>
      <c r="S8" s="137"/>
      <c r="T8" s="137"/>
      <c r="U8" s="6"/>
    </row>
    <row r="9" spans="2:21" x14ac:dyDescent="0.2">
      <c r="B9" s="6"/>
      <c r="C9" s="137"/>
      <c r="D9" s="137"/>
      <c r="E9" s="137"/>
      <c r="F9" s="137"/>
      <c r="G9" s="141" t="s">
        <v>3</v>
      </c>
      <c r="H9" s="137"/>
      <c r="I9" s="422"/>
      <c r="J9" s="423"/>
      <c r="K9" s="423"/>
      <c r="L9" s="423"/>
      <c r="M9" s="423"/>
      <c r="N9" s="423"/>
      <c r="O9" s="423"/>
      <c r="P9" s="423"/>
      <c r="Q9" s="423"/>
      <c r="R9" s="423"/>
      <c r="S9" s="424"/>
      <c r="T9" s="137"/>
      <c r="U9" s="6"/>
    </row>
    <row r="10" spans="2:21" x14ac:dyDescent="0.2">
      <c r="B10" s="6"/>
      <c r="C10" s="137"/>
      <c r="D10" s="137"/>
      <c r="E10" s="137"/>
      <c r="F10" s="137"/>
      <c r="G10" s="137"/>
      <c r="H10" s="137"/>
      <c r="I10" s="137"/>
      <c r="J10" s="137"/>
      <c r="K10" s="137"/>
      <c r="L10" s="137"/>
      <c r="M10" s="137"/>
      <c r="N10" s="137"/>
      <c r="O10" s="137"/>
      <c r="P10" s="137"/>
      <c r="Q10" s="137"/>
      <c r="R10" s="137"/>
      <c r="S10" s="137"/>
      <c r="T10" s="137"/>
      <c r="U10" s="6"/>
    </row>
    <row r="11" spans="2:21" x14ac:dyDescent="0.2">
      <c r="B11" s="6"/>
      <c r="C11" s="137"/>
      <c r="D11" s="137"/>
      <c r="E11" s="137"/>
      <c r="F11" s="137"/>
      <c r="G11" s="141" t="s">
        <v>218</v>
      </c>
      <c r="H11" s="137"/>
      <c r="I11" s="422"/>
      <c r="J11" s="423"/>
      <c r="K11" s="423"/>
      <c r="L11" s="423"/>
      <c r="M11" s="423"/>
      <c r="N11" s="423"/>
      <c r="O11" s="423"/>
      <c r="P11" s="423"/>
      <c r="Q11" s="423"/>
      <c r="R11" s="423"/>
      <c r="S11" s="424"/>
      <c r="T11" s="137"/>
      <c r="U11" s="6"/>
    </row>
    <row r="12" spans="2:21" x14ac:dyDescent="0.2">
      <c r="B12" s="6"/>
      <c r="C12" s="137"/>
      <c r="D12" s="137"/>
      <c r="E12" s="137"/>
      <c r="F12" s="137"/>
      <c r="G12" s="138"/>
      <c r="H12" s="138"/>
      <c r="I12" s="138"/>
      <c r="J12" s="138"/>
      <c r="K12" s="138"/>
      <c r="L12" s="138"/>
      <c r="M12" s="138"/>
      <c r="N12" s="138"/>
      <c r="O12" s="138"/>
      <c r="P12" s="138"/>
      <c r="Q12" s="138"/>
      <c r="R12" s="138"/>
      <c r="S12" s="138"/>
      <c r="T12" s="137"/>
      <c r="U12" s="6"/>
    </row>
    <row r="13" spans="2:21" x14ac:dyDescent="0.2">
      <c r="B13" s="6"/>
      <c r="C13" s="137"/>
      <c r="D13" s="137"/>
      <c r="E13" s="137"/>
      <c r="F13" s="137"/>
      <c r="G13" s="141" t="s">
        <v>504</v>
      </c>
      <c r="H13" s="137"/>
      <c r="I13" s="422"/>
      <c r="J13" s="423"/>
      <c r="K13" s="423"/>
      <c r="L13" s="423"/>
      <c r="M13" s="423"/>
      <c r="N13" s="423"/>
      <c r="O13" s="423"/>
      <c r="P13" s="423"/>
      <c r="Q13" s="423"/>
      <c r="R13" s="423"/>
      <c r="S13" s="424"/>
      <c r="T13" s="137"/>
      <c r="U13" s="6"/>
    </row>
    <row r="14" spans="2:21" x14ac:dyDescent="0.2">
      <c r="B14" s="6"/>
      <c r="C14" s="137"/>
      <c r="D14" s="137"/>
      <c r="E14" s="137"/>
      <c r="F14" s="137"/>
      <c r="G14" s="137"/>
      <c r="H14" s="137"/>
      <c r="I14" s="137"/>
      <c r="J14" s="137"/>
      <c r="K14" s="137"/>
      <c r="L14" s="137"/>
      <c r="M14" s="137"/>
      <c r="N14" s="137"/>
      <c r="O14" s="137"/>
      <c r="P14" s="137"/>
      <c r="Q14" s="137"/>
      <c r="R14" s="137"/>
      <c r="S14" s="137"/>
      <c r="T14" s="137"/>
      <c r="U14" s="6"/>
    </row>
    <row r="15" spans="2:21" x14ac:dyDescent="0.2">
      <c r="B15" s="6"/>
      <c r="C15" s="137"/>
      <c r="D15" s="137"/>
      <c r="E15" s="137"/>
      <c r="F15" s="137"/>
      <c r="G15" s="141" t="s">
        <v>4</v>
      </c>
      <c r="H15" s="137"/>
      <c r="I15" s="425"/>
      <c r="J15" s="426"/>
      <c r="K15" s="426"/>
      <c r="L15" s="426"/>
      <c r="M15" s="426"/>
      <c r="N15" s="426"/>
      <c r="O15" s="426"/>
      <c r="P15" s="426"/>
      <c r="Q15" s="426"/>
      <c r="R15" s="426"/>
      <c r="S15" s="427"/>
      <c r="T15" s="137"/>
      <c r="U15" s="6"/>
    </row>
    <row r="16" spans="2:21" x14ac:dyDescent="0.2">
      <c r="B16" s="6"/>
      <c r="C16" s="137"/>
      <c r="D16" s="137"/>
      <c r="E16" s="137"/>
      <c r="F16" s="137"/>
      <c r="G16" s="138"/>
      <c r="H16" s="137"/>
      <c r="I16" s="428"/>
      <c r="J16" s="429"/>
      <c r="K16" s="429"/>
      <c r="L16" s="429"/>
      <c r="M16" s="429"/>
      <c r="N16" s="429"/>
      <c r="O16" s="429"/>
      <c r="P16" s="429"/>
      <c r="Q16" s="429"/>
      <c r="R16" s="429"/>
      <c r="S16" s="430"/>
      <c r="T16" s="137"/>
      <c r="U16" s="6"/>
    </row>
    <row r="17" spans="2:21" x14ac:dyDescent="0.2">
      <c r="B17" s="6"/>
      <c r="C17" s="137"/>
      <c r="D17" s="137"/>
      <c r="E17" s="137"/>
      <c r="F17" s="137"/>
      <c r="G17" s="137"/>
      <c r="H17" s="137"/>
      <c r="I17" s="137"/>
      <c r="J17" s="137"/>
      <c r="K17" s="137"/>
      <c r="L17" s="137"/>
      <c r="M17" s="137"/>
      <c r="N17" s="137"/>
      <c r="O17" s="137"/>
      <c r="P17" s="137"/>
      <c r="Q17" s="137"/>
      <c r="R17" s="137"/>
      <c r="S17" s="137"/>
      <c r="T17" s="137"/>
      <c r="U17" s="6"/>
    </row>
    <row r="18" spans="2:21" x14ac:dyDescent="0.2">
      <c r="B18" s="6"/>
      <c r="C18" s="137"/>
      <c r="D18" s="137"/>
      <c r="E18" s="137"/>
      <c r="F18" s="137"/>
      <c r="G18" s="141" t="s">
        <v>5</v>
      </c>
      <c r="H18" s="137"/>
      <c r="I18" s="431"/>
      <c r="J18" s="432"/>
      <c r="K18" s="433"/>
      <c r="L18" s="137"/>
      <c r="M18" s="137"/>
      <c r="N18" s="137"/>
      <c r="O18" s="137"/>
      <c r="P18" s="137"/>
      <c r="Q18" s="137"/>
      <c r="R18" s="137"/>
      <c r="S18" s="137"/>
      <c r="T18" s="137"/>
      <c r="U18" s="6"/>
    </row>
    <row r="19" spans="2:21" x14ac:dyDescent="0.2">
      <c r="B19" s="6"/>
      <c r="C19" s="137"/>
      <c r="D19" s="137"/>
      <c r="E19" s="137"/>
      <c r="F19" s="137"/>
      <c r="G19" s="137"/>
      <c r="H19" s="137"/>
      <c r="I19" s="137"/>
      <c r="J19" s="137"/>
      <c r="K19" s="137"/>
      <c r="L19" s="137"/>
      <c r="M19" s="137"/>
      <c r="N19" s="137"/>
      <c r="O19" s="137"/>
      <c r="P19" s="137"/>
      <c r="Q19" s="137"/>
      <c r="R19" s="137"/>
      <c r="S19" s="137"/>
      <c r="T19" s="137"/>
      <c r="U19" s="6"/>
    </row>
    <row r="20" spans="2:21" x14ac:dyDescent="0.2">
      <c r="B20" s="6"/>
      <c r="C20" s="137"/>
      <c r="D20" s="137"/>
      <c r="E20" s="137"/>
      <c r="F20" s="137"/>
      <c r="G20" s="141" t="s">
        <v>237</v>
      </c>
      <c r="H20" s="137"/>
      <c r="I20" s="434"/>
      <c r="J20" s="435"/>
      <c r="K20" s="436"/>
      <c r="L20" s="142" t="s">
        <v>215</v>
      </c>
      <c r="M20" s="138"/>
      <c r="N20" s="137"/>
      <c r="O20" s="434"/>
      <c r="P20" s="435"/>
      <c r="Q20" s="436"/>
      <c r="R20" s="142" t="s">
        <v>214</v>
      </c>
      <c r="S20" s="137"/>
      <c r="T20" s="137"/>
      <c r="U20" s="6"/>
    </row>
    <row r="21" spans="2:21" x14ac:dyDescent="0.2">
      <c r="B21" s="6"/>
      <c r="C21" s="137"/>
      <c r="D21" s="137"/>
      <c r="E21" s="137"/>
      <c r="F21" s="137"/>
      <c r="G21" s="138"/>
      <c r="H21" s="137"/>
      <c r="I21" s="139"/>
      <c r="J21" s="139"/>
      <c r="K21" s="139"/>
      <c r="L21" s="137"/>
      <c r="M21" s="138"/>
      <c r="N21" s="137"/>
      <c r="O21" s="139"/>
      <c r="P21" s="139"/>
      <c r="Q21" s="139"/>
      <c r="R21" s="137"/>
      <c r="S21" s="137"/>
      <c r="T21" s="137"/>
      <c r="U21" s="6"/>
    </row>
    <row r="22" spans="2:21" x14ac:dyDescent="0.2">
      <c r="B22" s="6"/>
      <c r="C22" s="137"/>
      <c r="D22" s="137"/>
      <c r="E22" s="137"/>
      <c r="F22" s="137"/>
      <c r="G22" s="141" t="s">
        <v>230</v>
      </c>
      <c r="H22" s="137"/>
      <c r="I22" s="437">
        <f ca="1">IF(Data_ProjectStartDate="",TODAY(),MAX(DATE(YEAR(Data_ProjectStartDate)+O20,MONTH(Data_ProjectStartDate),DAY(Data_ProjectStartDate) - 1 + 365*(O20 - INT(O20))),DATE(YEAR(Data_ProjectStartDate),MONTH(Data_ProjectStartDate)+I20,DAY(Data_ProjectStartDate)-1 + 30*(I20 - INT(I20)))))</f>
        <v>44936</v>
      </c>
      <c r="J22" s="438"/>
      <c r="K22" s="439"/>
      <c r="L22" s="137"/>
      <c r="M22" s="138"/>
      <c r="N22" s="137"/>
      <c r="O22" s="139"/>
      <c r="P22" s="139"/>
      <c r="Q22" s="139"/>
      <c r="R22" s="137"/>
      <c r="S22" s="137"/>
      <c r="T22" s="137"/>
      <c r="U22" s="6"/>
    </row>
    <row r="23" spans="2:21" x14ac:dyDescent="0.2">
      <c r="B23" s="6"/>
      <c r="C23" s="137"/>
      <c r="D23" s="137"/>
      <c r="E23" s="137"/>
      <c r="F23" s="137"/>
      <c r="G23" s="138"/>
      <c r="H23" s="137"/>
      <c r="I23" s="140"/>
      <c r="J23" s="140"/>
      <c r="K23" s="140"/>
      <c r="L23" s="137"/>
      <c r="M23" s="137"/>
      <c r="N23" s="137"/>
      <c r="O23" s="137"/>
      <c r="P23" s="137"/>
      <c r="Q23" s="137"/>
      <c r="R23" s="137"/>
      <c r="S23" s="137"/>
      <c r="T23" s="137"/>
      <c r="U23" s="6"/>
    </row>
    <row r="24" spans="2:21" x14ac:dyDescent="0.2">
      <c r="B24" s="6"/>
      <c r="C24" s="137"/>
      <c r="D24" s="137"/>
      <c r="E24" s="137"/>
      <c r="F24" s="137"/>
      <c r="G24" s="141" t="s">
        <v>127</v>
      </c>
      <c r="H24" s="137"/>
      <c r="I24" s="140"/>
      <c r="J24" s="140"/>
      <c r="K24" s="140"/>
      <c r="L24" s="137"/>
      <c r="M24" s="137"/>
      <c r="N24" s="137"/>
      <c r="O24" s="137"/>
      <c r="P24" s="137"/>
      <c r="Q24" s="137"/>
      <c r="R24" s="137"/>
      <c r="S24" s="137"/>
      <c r="T24" s="137"/>
      <c r="U24" s="6"/>
    </row>
    <row r="25" spans="2:21" x14ac:dyDescent="0.2">
      <c r="B25" s="6"/>
      <c r="C25" s="137"/>
      <c r="D25" s="137"/>
      <c r="E25" s="137"/>
      <c r="F25" s="137"/>
      <c r="G25" s="137"/>
      <c r="H25" s="137"/>
      <c r="I25" s="137"/>
      <c r="J25" s="137"/>
      <c r="K25" s="137"/>
      <c r="L25" s="137"/>
      <c r="M25" s="137"/>
      <c r="N25" s="137"/>
      <c r="O25" s="137"/>
      <c r="P25" s="137"/>
      <c r="Q25" s="137"/>
      <c r="R25" s="137"/>
      <c r="S25" s="137"/>
      <c r="T25" s="137"/>
      <c r="U25" s="6"/>
    </row>
    <row r="26" spans="2:21" x14ac:dyDescent="0.2">
      <c r="B26" s="6"/>
      <c r="C26" s="137"/>
      <c r="D26" s="137"/>
      <c r="E26" s="137"/>
      <c r="F26" s="137"/>
      <c r="G26" s="141" t="s">
        <v>219</v>
      </c>
      <c r="H26" s="137"/>
      <c r="I26" s="137"/>
      <c r="J26" s="137"/>
      <c r="K26" s="137"/>
      <c r="L26" s="137"/>
      <c r="M26" s="137"/>
      <c r="N26" s="137"/>
      <c r="O26" s="137"/>
      <c r="P26" s="137"/>
      <c r="Q26" s="137"/>
      <c r="R26" s="137"/>
      <c r="S26" s="137"/>
      <c r="T26" s="137"/>
      <c r="U26" s="6"/>
    </row>
    <row r="27" spans="2:21" x14ac:dyDescent="0.2">
      <c r="B27" s="6"/>
      <c r="C27" s="137"/>
      <c r="D27" s="137"/>
      <c r="E27" s="137"/>
      <c r="F27" s="137"/>
      <c r="G27" s="137"/>
      <c r="H27" s="137"/>
      <c r="I27" s="137"/>
      <c r="J27" s="137"/>
      <c r="K27" s="137"/>
      <c r="L27" s="137"/>
      <c r="M27" s="137"/>
      <c r="N27" s="137"/>
      <c r="O27" s="137"/>
      <c r="P27" s="137"/>
      <c r="Q27" s="137"/>
      <c r="R27" s="137"/>
      <c r="S27" s="137"/>
      <c r="T27" s="137"/>
      <c r="U27" s="6"/>
    </row>
    <row r="28" spans="2:21" x14ac:dyDescent="0.2">
      <c r="B28" s="6"/>
      <c r="C28" s="137"/>
      <c r="D28" s="137"/>
      <c r="E28" s="137"/>
      <c r="F28" s="137"/>
      <c r="G28" s="141" t="s">
        <v>10</v>
      </c>
      <c r="H28" s="137"/>
      <c r="I28" s="357" t="s">
        <v>224</v>
      </c>
      <c r="J28" s="137"/>
      <c r="K28" s="137"/>
      <c r="L28" s="137"/>
      <c r="M28" s="137"/>
      <c r="N28" s="137"/>
      <c r="O28" s="137"/>
      <c r="P28" s="137"/>
      <c r="Q28" s="137"/>
      <c r="R28" s="137"/>
      <c r="S28" s="137"/>
      <c r="T28" s="137"/>
      <c r="U28" s="6"/>
    </row>
    <row r="29" spans="2:21" x14ac:dyDescent="0.2">
      <c r="B29" s="6"/>
      <c r="C29" s="137"/>
      <c r="D29" s="137"/>
      <c r="E29" s="137"/>
      <c r="F29" s="137"/>
      <c r="G29" s="141" t="s">
        <v>9</v>
      </c>
      <c r="H29" s="137"/>
      <c r="I29" s="441">
        <v>0.03</v>
      </c>
      <c r="J29" s="442"/>
      <c r="K29" s="137"/>
      <c r="L29" s="138"/>
      <c r="M29" s="137"/>
      <c r="N29" s="137"/>
      <c r="O29" s="137"/>
      <c r="P29" s="137"/>
      <c r="Q29" s="137"/>
      <c r="R29" s="137"/>
      <c r="S29" s="137"/>
      <c r="T29" s="137"/>
      <c r="U29" s="6"/>
    </row>
    <row r="30" spans="2:21" x14ac:dyDescent="0.2">
      <c r="B30" s="6"/>
      <c r="C30" s="137"/>
      <c r="D30" s="137"/>
      <c r="E30" s="137"/>
      <c r="F30" s="137"/>
      <c r="G30" s="137"/>
      <c r="H30" s="137"/>
      <c r="I30" s="137"/>
      <c r="J30" s="137"/>
      <c r="K30" s="137"/>
      <c r="L30" s="137"/>
      <c r="M30" s="137"/>
      <c r="N30" s="137"/>
      <c r="O30" s="137"/>
      <c r="P30" s="137"/>
      <c r="Q30" s="137"/>
      <c r="R30" s="137"/>
      <c r="S30" s="137"/>
      <c r="T30" s="137"/>
      <c r="U30" s="6"/>
    </row>
    <row r="31" spans="2:21" ht="13.5" thickBot="1" x14ac:dyDescent="0.25">
      <c r="B31" s="6"/>
      <c r="C31" s="137"/>
      <c r="D31" s="137"/>
      <c r="E31" s="137"/>
      <c r="F31" s="141"/>
      <c r="G31" s="141" t="s">
        <v>213</v>
      </c>
      <c r="H31" s="137"/>
      <c r="I31" s="137"/>
      <c r="J31" s="137"/>
      <c r="K31" s="137"/>
      <c r="L31" s="137"/>
      <c r="M31" s="137"/>
      <c r="N31" s="137"/>
      <c r="O31" s="137"/>
      <c r="P31" s="137"/>
      <c r="Q31" s="137"/>
      <c r="R31" s="137"/>
      <c r="S31" s="137"/>
      <c r="T31" s="137"/>
      <c r="U31" s="6"/>
    </row>
    <row r="32" spans="2:21" ht="6" customHeight="1" thickBot="1" x14ac:dyDescent="0.25">
      <c r="B32" s="6"/>
      <c r="C32" s="137"/>
      <c r="D32" s="137"/>
      <c r="E32" s="137"/>
      <c r="F32" s="141"/>
      <c r="G32" s="138"/>
      <c r="H32" s="137"/>
      <c r="I32" s="137"/>
      <c r="J32" s="137"/>
      <c r="K32" s="137"/>
      <c r="L32" s="137"/>
      <c r="M32" s="137"/>
      <c r="N32" s="137"/>
      <c r="O32" s="137"/>
      <c r="P32" s="137"/>
      <c r="Q32" s="137"/>
      <c r="R32" s="137"/>
      <c r="S32" s="137"/>
      <c r="T32" s="137"/>
      <c r="U32" s="6"/>
    </row>
    <row r="33" spans="2:21" ht="13.5" thickBot="1" x14ac:dyDescent="0.25">
      <c r="B33" s="6"/>
      <c r="C33" s="137"/>
      <c r="D33" s="137"/>
      <c r="E33" s="137"/>
      <c r="F33" s="443" t="s">
        <v>17</v>
      </c>
      <c r="G33" s="444"/>
      <c r="H33" s="444"/>
      <c r="I33" s="444"/>
      <c r="J33" s="444"/>
      <c r="K33" s="444"/>
      <c r="L33" s="444"/>
      <c r="M33" s="444"/>
      <c r="N33" s="444"/>
      <c r="O33" s="444"/>
      <c r="P33" s="444"/>
      <c r="Q33" s="445"/>
      <c r="R33" s="137"/>
      <c r="S33" s="137"/>
      <c r="T33" s="137"/>
      <c r="U33" s="6"/>
    </row>
    <row r="34" spans="2:21" ht="13.5" thickBot="1" x14ac:dyDescent="0.25">
      <c r="B34" s="6"/>
      <c r="C34" s="137"/>
      <c r="D34" s="137"/>
      <c r="E34" s="137"/>
      <c r="F34" s="456" t="s">
        <v>543</v>
      </c>
      <c r="G34" s="440"/>
      <c r="H34" s="440"/>
      <c r="I34" s="440"/>
      <c r="J34" s="440"/>
      <c r="K34" s="440" t="s">
        <v>22</v>
      </c>
      <c r="L34" s="440"/>
      <c r="M34" s="440"/>
      <c r="N34" s="440"/>
      <c r="O34" s="356" t="s">
        <v>19</v>
      </c>
      <c r="P34" s="440" t="s">
        <v>18</v>
      </c>
      <c r="Q34" s="455"/>
      <c r="R34" s="137"/>
      <c r="S34" s="137"/>
      <c r="T34" s="137"/>
      <c r="U34" s="6"/>
    </row>
    <row r="35" spans="2:21" ht="13.15" customHeight="1" x14ac:dyDescent="0.2">
      <c r="B35" s="6"/>
      <c r="C35" s="137"/>
      <c r="D35" s="137"/>
      <c r="E35" s="137"/>
      <c r="F35" s="446" t="s">
        <v>547</v>
      </c>
      <c r="G35" s="447"/>
      <c r="H35" s="447"/>
      <c r="I35" s="447"/>
      <c r="J35" s="448"/>
      <c r="K35" s="457" t="s">
        <v>20</v>
      </c>
      <c r="L35" s="457"/>
      <c r="M35" s="457"/>
      <c r="N35" s="457"/>
      <c r="O35" s="352">
        <f>Rates!H47*100</f>
        <v>53</v>
      </c>
      <c r="P35" s="392" t="s">
        <v>15</v>
      </c>
      <c r="Q35" s="393"/>
      <c r="R35" s="137"/>
      <c r="S35" s="137"/>
      <c r="T35" s="137"/>
      <c r="U35" s="6"/>
    </row>
    <row r="36" spans="2:21" x14ac:dyDescent="0.2">
      <c r="B36" s="6"/>
      <c r="C36" s="137"/>
      <c r="D36" s="137"/>
      <c r="E36" s="137"/>
      <c r="F36" s="449"/>
      <c r="G36" s="450"/>
      <c r="H36" s="450"/>
      <c r="I36" s="450"/>
      <c r="J36" s="451"/>
      <c r="K36" s="408" t="s">
        <v>21</v>
      </c>
      <c r="L36" s="408"/>
      <c r="M36" s="408"/>
      <c r="N36" s="408"/>
      <c r="O36" s="352">
        <f>Rates!H48*100</f>
        <v>50</v>
      </c>
      <c r="P36" s="392" t="s">
        <v>15</v>
      </c>
      <c r="Q36" s="393"/>
      <c r="R36" s="137"/>
      <c r="S36" s="137"/>
      <c r="T36" s="137"/>
      <c r="U36" s="6"/>
    </row>
    <row r="37" spans="2:21" x14ac:dyDescent="0.2">
      <c r="B37" s="6"/>
      <c r="C37" s="137"/>
      <c r="D37" s="137"/>
      <c r="E37" s="137"/>
      <c r="F37" s="452"/>
      <c r="G37" s="453"/>
      <c r="H37" s="453"/>
      <c r="I37" s="453"/>
      <c r="J37" s="454"/>
      <c r="K37" s="408" t="s">
        <v>546</v>
      </c>
      <c r="L37" s="408"/>
      <c r="M37" s="408"/>
      <c r="N37" s="408"/>
      <c r="O37" s="352">
        <f>Rates!H49*100</f>
        <v>35</v>
      </c>
      <c r="P37" s="392" t="s">
        <v>15</v>
      </c>
      <c r="Q37" s="393"/>
      <c r="R37" s="137"/>
      <c r="S37" s="137"/>
      <c r="T37" s="137"/>
      <c r="U37" s="6"/>
    </row>
    <row r="38" spans="2:21" ht="13.15" customHeight="1" x14ac:dyDescent="0.2">
      <c r="B38" s="6"/>
      <c r="C38" s="137"/>
      <c r="D38" s="137"/>
      <c r="E38" s="137"/>
      <c r="F38" s="400" t="s">
        <v>545</v>
      </c>
      <c r="G38" s="401"/>
      <c r="H38" s="401"/>
      <c r="I38" s="401"/>
      <c r="J38" s="402"/>
      <c r="K38" s="394" t="s">
        <v>544</v>
      </c>
      <c r="L38" s="395"/>
      <c r="M38" s="395"/>
      <c r="N38" s="396"/>
      <c r="O38" s="355">
        <v>15</v>
      </c>
      <c r="P38" s="403" t="s">
        <v>14</v>
      </c>
      <c r="Q38" s="404"/>
      <c r="R38" s="137"/>
      <c r="S38" s="137"/>
      <c r="T38" s="137"/>
      <c r="U38" s="6"/>
    </row>
    <row r="39" spans="2:21" ht="13.5" thickBot="1" x14ac:dyDescent="0.25">
      <c r="B39" s="6"/>
      <c r="C39" s="137"/>
      <c r="D39" s="137"/>
      <c r="E39" s="137"/>
      <c r="F39" s="405" t="s">
        <v>23</v>
      </c>
      <c r="G39" s="406"/>
      <c r="H39" s="406"/>
      <c r="I39" s="406"/>
      <c r="J39" s="407"/>
      <c r="K39" s="397"/>
      <c r="L39" s="398"/>
      <c r="M39" s="398"/>
      <c r="N39" s="399"/>
      <c r="O39" s="353" t="s">
        <v>24</v>
      </c>
      <c r="P39" s="409" t="s">
        <v>542</v>
      </c>
      <c r="Q39" s="410"/>
      <c r="R39" s="137"/>
      <c r="S39" s="137"/>
      <c r="T39" s="137"/>
      <c r="U39" s="6"/>
    </row>
    <row r="40" spans="2:21" ht="6" customHeight="1" thickBot="1" x14ac:dyDescent="0.25">
      <c r="B40" s="6"/>
      <c r="C40" s="137"/>
      <c r="D40" s="137"/>
      <c r="E40" s="137"/>
      <c r="F40" s="137"/>
      <c r="G40" s="137"/>
      <c r="H40" s="137"/>
      <c r="I40" s="137"/>
      <c r="J40" s="137"/>
      <c r="K40" s="137"/>
      <c r="L40" s="137"/>
      <c r="M40" s="137"/>
      <c r="N40" s="137"/>
      <c r="O40" s="137"/>
      <c r="P40" s="137"/>
      <c r="Q40" s="137"/>
      <c r="R40" s="137"/>
      <c r="S40" s="137"/>
      <c r="T40" s="137"/>
      <c r="U40" s="6"/>
    </row>
    <row r="41" spans="2:21" x14ac:dyDescent="0.2">
      <c r="B41" s="6"/>
      <c r="C41" s="137"/>
      <c r="D41" s="137"/>
      <c r="E41" s="137"/>
      <c r="F41" s="382" t="s">
        <v>540</v>
      </c>
      <c r="G41" s="383"/>
      <c r="H41" s="383"/>
      <c r="I41" s="384"/>
      <c r="J41" s="388" t="s">
        <v>541</v>
      </c>
      <c r="K41" s="389"/>
      <c r="L41" s="358">
        <v>1</v>
      </c>
      <c r="M41" s="358">
        <v>2</v>
      </c>
      <c r="N41" s="358">
        <v>3</v>
      </c>
      <c r="O41" s="358">
        <v>4</v>
      </c>
      <c r="P41" s="358">
        <v>5</v>
      </c>
      <c r="Q41" s="359">
        <v>6</v>
      </c>
      <c r="R41" s="137"/>
      <c r="S41" s="137"/>
      <c r="T41" s="137"/>
      <c r="U41" s="6"/>
    </row>
    <row r="42" spans="2:21" ht="13.5" thickBot="1" x14ac:dyDescent="0.25">
      <c r="B42" s="6"/>
      <c r="C42" s="137"/>
      <c r="D42" s="137"/>
      <c r="E42" s="137"/>
      <c r="F42" s="385"/>
      <c r="G42" s="386"/>
      <c r="H42" s="386"/>
      <c r="I42" s="387"/>
      <c r="J42" s="390" t="s">
        <v>11</v>
      </c>
      <c r="K42" s="391"/>
      <c r="L42" s="360">
        <f>CHOOSE('Drop-Down_Options'!C92,0,FA_Rate_Research_Y1,FA_Rate_Instruction_Y1,FA_Rate_PubServ_Y1,FA_Rate_OffCampus_Y1,DATA_RA_Rate_Custom)</f>
        <v>0</v>
      </c>
      <c r="M42" s="360">
        <f>CHOOSE('Drop-Down_Options'!C92,0,FA_Rate_Research_Y2,FA_Rate_Instruction_Y2,FA_Rate_PubServ_Y2,FA_Rate_OffCampus_Y2,DATA_RA_Rate_Custom)</f>
        <v>0</v>
      </c>
      <c r="N42" s="360">
        <f>CHOOSE('Drop-Down_Options'!C92,0,FA_Rate_Research_Y3,FA_Rate_Instruction_Y3,FA_Rate_PubServ_Y3,FA_Rate_OffCampus_Y3,DATA_RA_Rate_Custom)</f>
        <v>0</v>
      </c>
      <c r="O42" s="360">
        <f>CHOOSE('Drop-Down_Options'!C92,0,FA_Rate_Research_Y4,FA_Rate_Instruction_Y4,FA_Rate_PubServ_Y4,FA_Rate_OffCampus_Y4,DATA_RA_Rate_Custom)</f>
        <v>0</v>
      </c>
      <c r="P42" s="360">
        <f>CHOOSE('Drop-Down_Options'!C92,0,FA_Rate_Research_Y5,FA_Rate_Instruction_Y5,FA_Rate_PubServ_Y5,FA_Rate_OffCampus_Y5,DATA_RA_Rate_Custom)</f>
        <v>0</v>
      </c>
      <c r="Q42" s="361">
        <f>CHOOSE('Drop-Down_Options'!C92,0,FA_Rate_Research_Y6,FA_Rate_Instruction_Y6,FA_Rate_PubServ_Y6,FA_Rate_OffCampus_Y6,DATA_RA_Rate_Custom)</f>
        <v>0</v>
      </c>
      <c r="R42" s="137"/>
      <c r="S42" s="137"/>
      <c r="T42" s="137"/>
      <c r="U42" s="6"/>
    </row>
    <row r="43" spans="2:21" ht="9" customHeight="1" x14ac:dyDescent="0.2">
      <c r="B43" s="6"/>
      <c r="C43" s="137"/>
      <c r="D43" s="137"/>
      <c r="E43" s="137"/>
      <c r="F43" s="137"/>
      <c r="G43" s="137"/>
      <c r="H43" s="137"/>
      <c r="I43" s="137"/>
      <c r="J43" s="137"/>
      <c r="K43" s="137"/>
      <c r="L43" s="137"/>
      <c r="M43" s="137"/>
      <c r="N43" s="137"/>
      <c r="O43" s="137"/>
      <c r="P43" s="137"/>
      <c r="Q43" s="137"/>
      <c r="R43" s="137"/>
      <c r="S43" s="137"/>
      <c r="T43" s="137"/>
      <c r="U43" s="6"/>
    </row>
    <row r="44" spans="2:21" x14ac:dyDescent="0.2">
      <c r="B44" s="6"/>
      <c r="C44" s="137"/>
      <c r="D44" s="137"/>
      <c r="E44" s="137"/>
      <c r="F44" s="137"/>
      <c r="G44" s="141" t="s">
        <v>536</v>
      </c>
      <c r="H44" s="137"/>
      <c r="I44" s="137"/>
      <c r="J44" s="137"/>
      <c r="K44" s="137"/>
      <c r="L44" s="137"/>
      <c r="M44" s="142" t="s">
        <v>537</v>
      </c>
      <c r="N44" s="137"/>
      <c r="O44" s="137"/>
      <c r="P44" s="380"/>
      <c r="Q44" s="381"/>
      <c r="R44" s="137"/>
      <c r="S44" s="137"/>
      <c r="T44" s="137"/>
      <c r="U44" s="6"/>
    </row>
    <row r="45" spans="2:21" x14ac:dyDescent="0.2">
      <c r="B45" s="6"/>
      <c r="C45" s="137"/>
      <c r="D45" s="137"/>
      <c r="E45" s="137"/>
      <c r="F45" s="137"/>
      <c r="G45" s="137"/>
      <c r="H45" s="137"/>
      <c r="I45" s="137"/>
      <c r="J45" s="137"/>
      <c r="K45" s="137"/>
      <c r="L45" s="137"/>
      <c r="M45" s="137"/>
      <c r="N45" s="137"/>
      <c r="O45" s="137"/>
      <c r="P45" s="137"/>
      <c r="Q45" s="137"/>
      <c r="R45" s="137"/>
      <c r="S45" s="137"/>
      <c r="T45" s="137"/>
      <c r="U45" s="6"/>
    </row>
    <row r="46" spans="2:21" x14ac:dyDescent="0.2">
      <c r="B46" s="6"/>
      <c r="C46" s="137"/>
      <c r="D46" s="137"/>
      <c r="E46" s="137"/>
      <c r="F46" s="137"/>
      <c r="G46" s="141" t="s">
        <v>12</v>
      </c>
      <c r="H46" s="137"/>
      <c r="I46" s="142"/>
      <c r="J46" s="137"/>
      <c r="K46" s="137"/>
      <c r="L46" s="137"/>
      <c r="M46" s="137"/>
      <c r="N46" s="137"/>
      <c r="O46" s="137"/>
      <c r="P46" s="137"/>
      <c r="Q46" s="137"/>
      <c r="R46" s="137"/>
      <c r="S46" s="137"/>
      <c r="T46" s="137"/>
      <c r="U46" s="6"/>
    </row>
    <row r="47" spans="2:21" x14ac:dyDescent="0.2">
      <c r="B47" s="6"/>
      <c r="C47" s="137"/>
      <c r="D47" s="137"/>
      <c r="E47" s="137"/>
      <c r="F47" s="137"/>
      <c r="G47" s="137"/>
      <c r="H47" s="137"/>
      <c r="I47" s="137"/>
      <c r="J47" s="137"/>
      <c r="K47" s="137"/>
      <c r="L47" s="137"/>
      <c r="M47" s="137"/>
      <c r="N47" s="137"/>
      <c r="O47" s="137"/>
      <c r="P47" s="137"/>
      <c r="Q47" s="137"/>
      <c r="R47" s="137"/>
      <c r="S47" s="137"/>
      <c r="T47" s="137"/>
      <c r="U47" s="6"/>
    </row>
    <row r="48" spans="2:21" x14ac:dyDescent="0.2">
      <c r="B48" s="6"/>
      <c r="C48" s="137"/>
      <c r="D48" s="137"/>
      <c r="E48" s="137"/>
      <c r="F48" s="142" t="str">
        <f>IF(Result_Base="Other","Check the boxes below to exclude these categories from the F&amp;A (Indirect) Cost Base","Please ignore the boxes below.  They are only used when you select a base of ""other""")</f>
        <v>Please ignore the boxes below.  They are only used when you select a base of "other"</v>
      </c>
      <c r="G48" s="137"/>
      <c r="H48" s="137"/>
      <c r="I48" s="137"/>
      <c r="J48" s="137"/>
      <c r="K48" s="137"/>
      <c r="L48" s="137"/>
      <c r="M48" s="137"/>
      <c r="N48" s="137"/>
      <c r="O48" s="137"/>
      <c r="P48" s="137"/>
      <c r="Q48" s="137"/>
      <c r="R48" s="137"/>
      <c r="S48" s="137"/>
      <c r="T48" s="137"/>
      <c r="U48" s="6"/>
    </row>
    <row r="49" spans="2:21" x14ac:dyDescent="0.2">
      <c r="B49" s="6"/>
      <c r="C49" s="137"/>
      <c r="D49" s="137"/>
      <c r="E49" s="137"/>
      <c r="F49" s="137"/>
      <c r="G49" s="137"/>
      <c r="H49" s="137"/>
      <c r="I49" s="137"/>
      <c r="J49" s="137"/>
      <c r="K49" s="137"/>
      <c r="L49" s="137"/>
      <c r="M49" s="137"/>
      <c r="N49" s="137"/>
      <c r="O49" s="137"/>
      <c r="P49" s="137"/>
      <c r="Q49" s="137"/>
      <c r="R49" s="137"/>
      <c r="S49" s="137"/>
      <c r="T49" s="137"/>
      <c r="U49" s="6"/>
    </row>
    <row r="50" spans="2:21" x14ac:dyDescent="0.2">
      <c r="B50" s="6"/>
      <c r="C50" s="137"/>
      <c r="D50" s="143"/>
      <c r="E50" s="143"/>
      <c r="F50" s="137"/>
      <c r="G50" s="137"/>
      <c r="H50" s="137"/>
      <c r="I50" s="143"/>
      <c r="J50" s="143"/>
      <c r="K50" s="137"/>
      <c r="L50" s="137"/>
      <c r="M50" s="143"/>
      <c r="N50" s="143"/>
      <c r="O50" s="137"/>
      <c r="P50" s="137"/>
      <c r="Q50" s="137"/>
      <c r="R50" s="137"/>
      <c r="S50" s="137"/>
      <c r="T50" s="137"/>
      <c r="U50" s="6"/>
    </row>
    <row r="51" spans="2:21" x14ac:dyDescent="0.2">
      <c r="B51" s="6"/>
      <c r="C51" s="137"/>
      <c r="D51" s="143"/>
      <c r="E51" s="143"/>
      <c r="F51" s="137"/>
      <c r="G51" s="137"/>
      <c r="H51" s="137"/>
      <c r="I51" s="143"/>
      <c r="J51" s="143"/>
      <c r="K51" s="137"/>
      <c r="L51" s="137"/>
      <c r="M51" s="143"/>
      <c r="N51" s="143"/>
      <c r="O51" s="137"/>
      <c r="P51" s="137"/>
      <c r="Q51" s="137"/>
      <c r="R51" s="137"/>
      <c r="S51" s="137"/>
      <c r="T51" s="137"/>
      <c r="U51" s="6"/>
    </row>
    <row r="52" spans="2:21" x14ac:dyDescent="0.2">
      <c r="B52" s="6"/>
      <c r="C52" s="137"/>
      <c r="D52" s="143"/>
      <c r="E52" s="143"/>
      <c r="F52" s="137"/>
      <c r="G52" s="137"/>
      <c r="H52" s="137"/>
      <c r="I52" s="143"/>
      <c r="J52" s="143"/>
      <c r="K52" s="137"/>
      <c r="L52" s="137"/>
      <c r="M52" s="143"/>
      <c r="N52" s="143"/>
      <c r="O52" s="137"/>
      <c r="P52" s="137"/>
      <c r="Q52" s="137"/>
      <c r="R52" s="137"/>
      <c r="S52" s="137"/>
      <c r="T52" s="137"/>
      <c r="U52" s="6"/>
    </row>
    <row r="53" spans="2:21" x14ac:dyDescent="0.2">
      <c r="B53" s="6"/>
      <c r="C53" s="137"/>
      <c r="D53" s="143"/>
      <c r="E53" s="143"/>
      <c r="F53" s="137"/>
      <c r="G53" s="137"/>
      <c r="H53" s="137"/>
      <c r="I53" s="143"/>
      <c r="J53" s="143"/>
      <c r="K53" s="137"/>
      <c r="L53" s="137"/>
      <c r="M53" s="143"/>
      <c r="N53" s="143"/>
      <c r="O53" s="137"/>
      <c r="P53" s="137"/>
      <c r="Q53" s="137"/>
      <c r="R53" s="137"/>
      <c r="S53" s="137"/>
      <c r="T53" s="137"/>
      <c r="U53" s="6"/>
    </row>
    <row r="54" spans="2:21" x14ac:dyDescent="0.2">
      <c r="B54" s="6"/>
      <c r="C54" s="137"/>
      <c r="D54" s="143"/>
      <c r="E54" s="143"/>
      <c r="F54" s="137"/>
      <c r="G54" s="137"/>
      <c r="H54" s="137"/>
      <c r="I54" s="143"/>
      <c r="J54" s="143"/>
      <c r="K54" s="137"/>
      <c r="L54" s="137"/>
      <c r="M54" s="143"/>
      <c r="N54" s="143"/>
      <c r="O54" s="137"/>
      <c r="P54" s="137"/>
      <c r="Q54" s="137"/>
      <c r="R54" s="137"/>
      <c r="S54" s="137"/>
      <c r="T54" s="137"/>
      <c r="U54" s="6"/>
    </row>
    <row r="55" spans="2:21" x14ac:dyDescent="0.2">
      <c r="B55" s="6"/>
      <c r="C55" s="137"/>
      <c r="D55" s="137"/>
      <c r="E55" s="137"/>
      <c r="F55" s="137"/>
      <c r="G55" s="137"/>
      <c r="H55" s="137"/>
      <c r="I55" s="137"/>
      <c r="J55" s="137"/>
      <c r="K55" s="137"/>
      <c r="L55" s="137"/>
      <c r="M55" s="137"/>
      <c r="N55" s="137"/>
      <c r="O55" s="137"/>
      <c r="P55" s="137"/>
      <c r="Q55" s="137"/>
      <c r="R55" s="137"/>
      <c r="S55" s="137"/>
      <c r="T55" s="137"/>
      <c r="U55" s="6"/>
    </row>
    <row r="56" spans="2:21" x14ac:dyDescent="0.2">
      <c r="B56" s="6"/>
      <c r="C56" s="137"/>
      <c r="D56" s="137"/>
      <c r="E56" s="137"/>
      <c r="F56" s="137"/>
      <c r="G56" s="137"/>
      <c r="H56" s="137"/>
      <c r="I56" s="137"/>
      <c r="J56" s="137"/>
      <c r="K56" s="137"/>
      <c r="L56" s="137"/>
      <c r="M56" s="137"/>
      <c r="N56" s="137"/>
      <c r="O56" s="137"/>
      <c r="P56" s="137"/>
      <c r="Q56" s="137"/>
      <c r="R56" s="137"/>
      <c r="S56" s="137"/>
      <c r="T56" s="137"/>
      <c r="U56" s="6"/>
    </row>
    <row r="57" spans="2:21" x14ac:dyDescent="0.2">
      <c r="B57" s="6"/>
      <c r="C57" s="144"/>
      <c r="D57" s="144"/>
      <c r="E57" s="144"/>
      <c r="F57" s="144"/>
      <c r="G57" s="144"/>
      <c r="H57" s="144"/>
      <c r="I57" s="144"/>
      <c r="J57" s="144"/>
      <c r="K57" s="144"/>
      <c r="L57" s="144"/>
      <c r="M57" s="144"/>
      <c r="N57" s="144"/>
      <c r="O57" s="144"/>
      <c r="P57" s="144"/>
      <c r="Q57" s="144"/>
      <c r="R57" s="144"/>
      <c r="S57" s="144"/>
      <c r="T57" s="144"/>
      <c r="U57" s="6"/>
    </row>
    <row r="58" spans="2:21" ht="5.0999999999999996" customHeight="1" x14ac:dyDescent="0.2">
      <c r="B58" s="16"/>
      <c r="C58" s="17"/>
      <c r="D58" s="17"/>
      <c r="E58" s="17"/>
      <c r="F58" s="17"/>
      <c r="G58" s="17"/>
      <c r="H58" s="17"/>
      <c r="I58" s="17"/>
      <c r="J58" s="17"/>
      <c r="K58" s="17"/>
      <c r="L58" s="17"/>
      <c r="M58" s="17"/>
      <c r="N58" s="17"/>
      <c r="O58" s="17"/>
      <c r="P58" s="17"/>
      <c r="Q58" s="17"/>
      <c r="R58" s="17"/>
      <c r="S58" s="17"/>
      <c r="T58" s="17"/>
      <c r="U58" s="18"/>
    </row>
    <row r="60" spans="2:21" x14ac:dyDescent="0.2">
      <c r="C60" t="s">
        <v>220</v>
      </c>
    </row>
    <row r="61" spans="2:21" ht="30" x14ac:dyDescent="0.4">
      <c r="F61" s="22"/>
    </row>
    <row r="148" spans="22:39" x14ac:dyDescent="0.2">
      <c r="V148" t="b">
        <v>0</v>
      </c>
      <c r="AC148" t="b">
        <v>0</v>
      </c>
      <c r="AG148" t="b">
        <v>0</v>
      </c>
      <c r="AM148" t="b">
        <v>1</v>
      </c>
    </row>
  </sheetData>
  <sheetProtection algorithmName="SHA-512" hashValue="/BDv07wiwCAgGMy/EzSGId0utDZIGZ//fHzmxVVCbXymQXbcFMWoRP+4OtcnqbxHNpUDmBHCn6zi3PZflZWE7Q==" saltValue="9wQ8X5DW1ANj7Pd6V8FRWA==" spinCount="100000" sheet="1" selectLockedCells="1"/>
  <mergeCells count="34">
    <mergeCell ref="I11:S11"/>
    <mergeCell ref="I15:S16"/>
    <mergeCell ref="I18:K18"/>
    <mergeCell ref="I20:K20"/>
    <mergeCell ref="P35:Q35"/>
    <mergeCell ref="I22:K22"/>
    <mergeCell ref="I13:S13"/>
    <mergeCell ref="K34:N34"/>
    <mergeCell ref="O20:Q20"/>
    <mergeCell ref="I29:J29"/>
    <mergeCell ref="F33:Q33"/>
    <mergeCell ref="F35:J37"/>
    <mergeCell ref="P34:Q34"/>
    <mergeCell ref="F34:J34"/>
    <mergeCell ref="K35:N35"/>
    <mergeCell ref="S3:T3"/>
    <mergeCell ref="C4:T4"/>
    <mergeCell ref="C6:T6"/>
    <mergeCell ref="C7:T7"/>
    <mergeCell ref="I9:S9"/>
    <mergeCell ref="C5:T5"/>
    <mergeCell ref="P44:Q44"/>
    <mergeCell ref="F41:I42"/>
    <mergeCell ref="J41:K41"/>
    <mergeCell ref="J42:K42"/>
    <mergeCell ref="P36:Q36"/>
    <mergeCell ref="K38:N39"/>
    <mergeCell ref="F38:J38"/>
    <mergeCell ref="P38:Q38"/>
    <mergeCell ref="F39:J39"/>
    <mergeCell ref="K36:N36"/>
    <mergeCell ref="K37:N37"/>
    <mergeCell ref="P39:Q39"/>
    <mergeCell ref="P37:Q37"/>
  </mergeCells>
  <conditionalFormatting sqref="I22:K22">
    <cfRule type="expression" dxfId="126" priority="3" stopIfTrue="1">
      <formula>OR((Data_ProjectStartDate&gt;Data_ProjectEndDate),(Data_ProjectStartDate=""))</formula>
    </cfRule>
  </conditionalFormatting>
  <dataValidations count="4">
    <dataValidation type="date" allowBlank="1" showErrorMessage="1" errorTitle="Date" error="The start date you entered is either too far in the past, too far in the future, or in the wrong format.  Please enter your date in the format mm/dd/yyyy.  Click CANCEL to abort your changes, or RETRY to enter a new value." sqref="I22:K22 I18:K18" xr:uid="{00000000-0002-0000-0100-000000000000}">
      <formula1>Var_EarliestProjectStartDate</formula1>
      <formula2>Var_LatestProjectStartDate</formula2>
    </dataValidation>
    <dataValidation type="decimal" allowBlank="1" showInputMessage="1" showErrorMessage="1" errorTitle="Invalid Entry - Percentages Only" error="Please enter a number into this cell.  For zero percent, enter 0. For any other value you can either enter a number followed by a percentage sign (50%) or a decimal value (.5). To undo your change, click CANCEL." sqref="I29:J29 P44:Q44" xr:uid="{00000000-0002-0000-0100-000001000000}">
      <formula1>0</formula1>
      <formula2>1</formula2>
    </dataValidation>
    <dataValidation type="decimal" allowBlank="1" showErrorMessage="1" errorTitle="Please enter a numerical value" error="Enter the number of months as a number in decimal format between 1 and 60.  For example, for 9-and-one-half months, enter 9.5.  Press RETRY to enter a different value or CANCEL to return to the previous value and exit." sqref="O20:Q22 I21:K21" xr:uid="{00000000-0002-0000-0100-000002000000}">
      <formula1>0</formula1>
      <formula2>60</formula2>
    </dataValidation>
    <dataValidation type="decimal" allowBlank="1" showErrorMessage="1" errorTitle="Please enter a numerical value" error="Enter the number of months as a number in decimal format between 1 and 72.  For example, for 9-and-one-half months, enter 9.5.  Press RETRY to enter a different value or CANCEL to return to the previous value and exit." sqref="I20:K20" xr:uid="{00000000-0002-0000-0100-000003000000}">
      <formula1>0</formula1>
      <formula2>72</formula2>
    </dataValidation>
  </dataValidations>
  <printOptions horizontalCentered="1"/>
  <pageMargins left="0.7" right="0.7" top="0.75" bottom="0.75" header="0.3" footer="0.3"/>
  <pageSetup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8</xdr:col>
                    <xdr:colOff>0</xdr:colOff>
                    <xdr:row>24</xdr:row>
                    <xdr:rowOff>142875</xdr:rowOff>
                  </from>
                  <to>
                    <xdr:col>12</xdr:col>
                    <xdr:colOff>219075</xdr:colOff>
                    <xdr:row>26</xdr:row>
                    <xdr:rowOff>19050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8</xdr:col>
                    <xdr:colOff>9525</xdr:colOff>
                    <xdr:row>45</xdr:row>
                    <xdr:rowOff>0</xdr:rowOff>
                  </from>
                  <to>
                    <xdr:col>11</xdr:col>
                    <xdr:colOff>200025</xdr:colOff>
                    <xdr:row>46</xdr:row>
                    <xdr:rowOff>57150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8</xdr:col>
                    <xdr:colOff>0</xdr:colOff>
                    <xdr:row>22</xdr:row>
                    <xdr:rowOff>152400</xdr:rowOff>
                  </from>
                  <to>
                    <xdr:col>12</xdr:col>
                    <xdr:colOff>219075</xdr:colOff>
                    <xdr:row>24</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152400</xdr:colOff>
                    <xdr:row>48</xdr:row>
                    <xdr:rowOff>133350</xdr:rowOff>
                  </from>
                  <to>
                    <xdr:col>7</xdr:col>
                    <xdr:colOff>323850</xdr:colOff>
                    <xdr:row>50</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xdr:col>
                    <xdr:colOff>152400</xdr:colOff>
                    <xdr:row>50</xdr:row>
                    <xdr:rowOff>133350</xdr:rowOff>
                  </from>
                  <to>
                    <xdr:col>6</xdr:col>
                    <xdr:colOff>342900</xdr:colOff>
                    <xdr:row>52</xdr:row>
                    <xdr:rowOff>28575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152400</xdr:colOff>
                    <xdr:row>52</xdr:row>
                    <xdr:rowOff>133350</xdr:rowOff>
                  </from>
                  <to>
                    <xdr:col>6</xdr:col>
                    <xdr:colOff>342900</xdr:colOff>
                    <xdr:row>54</xdr:row>
                    <xdr:rowOff>28575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19050</xdr:colOff>
                    <xdr:row>48</xdr:row>
                    <xdr:rowOff>133350</xdr:rowOff>
                  </from>
                  <to>
                    <xdr:col>11</xdr:col>
                    <xdr:colOff>361950</xdr:colOff>
                    <xdr:row>50</xdr:row>
                    <xdr:rowOff>28575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19050</xdr:colOff>
                    <xdr:row>50</xdr:row>
                    <xdr:rowOff>133350</xdr:rowOff>
                  </from>
                  <to>
                    <xdr:col>11</xdr:col>
                    <xdr:colOff>247650</xdr:colOff>
                    <xdr:row>52</xdr:row>
                    <xdr:rowOff>28575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10</xdr:col>
                    <xdr:colOff>19050</xdr:colOff>
                    <xdr:row>52</xdr:row>
                    <xdr:rowOff>133350</xdr:rowOff>
                  </from>
                  <to>
                    <xdr:col>12</xdr:col>
                    <xdr:colOff>247650</xdr:colOff>
                    <xdr:row>54</xdr:row>
                    <xdr:rowOff>28575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13</xdr:col>
                    <xdr:colOff>333375</xdr:colOff>
                    <xdr:row>48</xdr:row>
                    <xdr:rowOff>133350</xdr:rowOff>
                  </from>
                  <to>
                    <xdr:col>18</xdr:col>
                    <xdr:colOff>95250</xdr:colOff>
                    <xdr:row>50</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13</xdr:col>
                    <xdr:colOff>333375</xdr:colOff>
                    <xdr:row>52</xdr:row>
                    <xdr:rowOff>133350</xdr:rowOff>
                  </from>
                  <to>
                    <xdr:col>15</xdr:col>
                    <xdr:colOff>361950</xdr:colOff>
                    <xdr:row>54</xdr:row>
                    <xdr:rowOff>28575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13</xdr:col>
                    <xdr:colOff>333375</xdr:colOff>
                    <xdr:row>50</xdr:row>
                    <xdr:rowOff>133350</xdr:rowOff>
                  </from>
                  <to>
                    <xdr:col>17</xdr:col>
                    <xdr:colOff>285750</xdr:colOff>
                    <xdr:row>52</xdr:row>
                    <xdr:rowOff>28575</xdr:rowOff>
                  </to>
                </anchor>
              </controlPr>
            </control>
          </mc:Choice>
        </mc:AlternateContent>
        <mc:AlternateContent xmlns:mc="http://schemas.openxmlformats.org/markup-compatibility/2006">
          <mc:Choice Requires="x14">
            <control shapeId="1038" r:id="rId16" name="Check Box 14">
              <controlPr defaultSize="0" autoFill="0" autoLine="0" autoPict="0" altText="Check here if the sponsor prohibits tuition in the budget.  Charges associated with Graduate Assistant tuition will become the responsibility of the PI, Department, and/or Division">
                <anchor moveWithCells="1">
                  <from>
                    <xdr:col>13</xdr:col>
                    <xdr:colOff>190500</xdr:colOff>
                    <xdr:row>22</xdr:row>
                    <xdr:rowOff>142875</xdr:rowOff>
                  </from>
                  <to>
                    <xdr:col>18</xdr:col>
                    <xdr:colOff>285750</xdr:colOff>
                    <xdr:row>28</xdr:row>
                    <xdr:rowOff>19050</xdr:rowOff>
                  </to>
                </anchor>
              </controlPr>
            </control>
          </mc:Choice>
        </mc:AlternateContent>
        <mc:AlternateContent xmlns:mc="http://schemas.openxmlformats.org/markup-compatibility/2006">
          <mc:Choice Requires="x14">
            <control shapeId="1039" r:id="rId17" name="Drop Down 15">
              <controlPr defaultSize="0" autoLine="0" autoPict="0">
                <anchor moveWithCells="1">
                  <from>
                    <xdr:col>7</xdr:col>
                    <xdr:colOff>371475</xdr:colOff>
                    <xdr:row>42</xdr:row>
                    <xdr:rowOff>142875</xdr:rowOff>
                  </from>
                  <to>
                    <xdr:col>11</xdr:col>
                    <xdr:colOff>180975</xdr:colOff>
                    <xdr:row>44</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BD915C50-A1AE-45D7-96C9-9E8B89291A2E}">
            <xm:f>'Drop-Down_Options'!$C$92&lt;&gt;6</xm:f>
            <x14:dxf>
              <font>
                <color theme="2"/>
              </font>
              <fill>
                <patternFill>
                  <bgColor theme="2"/>
                </patternFill>
              </fill>
              <border>
                <left/>
                <right/>
                <top/>
                <bottom/>
                <vertical/>
                <horizontal/>
              </border>
            </x14:dxf>
          </x14:cfRule>
          <xm:sqref>M44:Q44</xm:sqref>
        </x14:conditionalFormatting>
        <x14:conditionalFormatting xmlns:xm="http://schemas.microsoft.com/office/excel/2006/main">
          <x14:cfRule type="expression" priority="1" id="{10A9C4CF-82C3-47AD-9092-3F5BE8055659}">
            <xm:f>'Drop-Down_Options'!$C$92=1</xm:f>
            <x14:dxf>
              <font>
                <color theme="2"/>
              </font>
              <fill>
                <patternFill>
                  <bgColor theme="2"/>
                </patternFill>
              </fill>
              <border>
                <left/>
                <right/>
                <top/>
                <bottom/>
                <vertical/>
                <horizontal/>
              </border>
            </x14:dxf>
          </x14:cfRule>
          <xm:sqref>F41:Q42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pageSetUpPr fitToPage="1"/>
  </sheetPr>
  <dimension ref="B1:AV150"/>
  <sheetViews>
    <sheetView showGridLines="0" zoomScaleNormal="100" zoomScaleSheetLayoutView="90" workbookViewId="0">
      <selection activeCell="F11" sqref="F11:K11"/>
    </sheetView>
  </sheetViews>
  <sheetFormatPr defaultColWidth="9.28515625"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25</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IF(Data_ProjectStartDate&gt;=Var_EarliestProjectStartDate,TEXT(Data_ProjectStartDate," mmmm d, yyyy") &amp; " - " &amp; TEXT(DATE(YEAR(Data_ProjectStartDate)+1,MONTH(Data_ProjectStartDate),DAY(Data_ProjectStartDate)-1),"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ht="12.75" customHeight="1"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8"/>
      <c r="AE7" s="238"/>
      <c r="AF7" s="238"/>
      <c r="AG7" s="238"/>
      <c r="AH7" s="238"/>
      <c r="AI7" s="238"/>
      <c r="AJ7" s="238"/>
      <c r="AK7" s="238"/>
      <c r="AL7" s="238"/>
      <c r="AM7" s="238"/>
      <c r="AN7" s="238"/>
      <c r="AO7" s="238"/>
      <c r="AP7" s="238"/>
      <c r="AQ7" s="238"/>
      <c r="AR7" s="238"/>
      <c r="AS7" s="238"/>
      <c r="AT7" s="238"/>
      <c r="AU7" s="148"/>
      <c r="AV7" s="10"/>
    </row>
    <row r="8" spans="2:48" ht="12.75" customHeight="1" x14ac:dyDescent="0.2">
      <c r="B8" s="10"/>
      <c r="C8" s="137"/>
      <c r="D8" s="137"/>
      <c r="E8" s="137"/>
      <c r="F8" s="137"/>
      <c r="G8" s="137"/>
      <c r="H8" s="137"/>
      <c r="I8" s="137"/>
      <c r="J8" s="137"/>
      <c r="K8" s="137"/>
      <c r="L8" s="137"/>
      <c r="M8" s="137"/>
      <c r="N8" s="137"/>
      <c r="O8" s="137"/>
      <c r="P8" s="137"/>
      <c r="Q8" s="137"/>
      <c r="R8" s="613" t="str">
        <f>CONCATENATE("Please note: Post-docs, as exempt employees, must be paid $",Salary_MinimumFLSAPostDoc_Annual_Y1," annually (or $",Salary_MinimumFLSAPostDoc_Academic_Y1,"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615"/>
      <c r="G11" s="616"/>
      <c r="H11" s="616"/>
      <c r="I11" s="616"/>
      <c r="J11" s="616"/>
      <c r="K11" s="617"/>
      <c r="L11" s="113">
        <v>1</v>
      </c>
      <c r="M11" s="122"/>
      <c r="N11" s="123"/>
      <c r="O11" s="113">
        <v>1</v>
      </c>
      <c r="P11" s="122"/>
      <c r="Q11" s="122"/>
      <c r="R11" s="122"/>
      <c r="S11" s="122"/>
      <c r="T11" s="318" t="str">
        <f t="shared" ref="T11:T30" si="0">IF(AND(L11=4,OR(AND(O11=2,U11&lt;Salary_MinimumFLSAPostDoc_Academic_Y1),AND(O11=3,U11&lt;Salary_MinimumFLSAPostDoc_Annual_Y1))),1,"")</f>
        <v/>
      </c>
      <c r="U11" s="629"/>
      <c r="V11" s="630"/>
      <c r="W11" s="630"/>
      <c r="X11" s="631"/>
      <c r="Y11" s="113">
        <v>1</v>
      </c>
      <c r="Z11" s="116"/>
      <c r="AA11" s="117"/>
      <c r="AB11" s="627"/>
      <c r="AC11" s="628"/>
      <c r="AD11" s="623"/>
      <c r="AE11" s="624"/>
      <c r="AF11" s="624"/>
      <c r="AG11" s="621">
        <f t="shared" ref="AG11:AG30" si="1">AB11*AD11</f>
        <v>0</v>
      </c>
      <c r="AH11" s="622"/>
      <c r="AI11" s="602">
        <f t="shared" ref="AI11:AI30" si="2">IF(OR(L11&lt;2,O11&lt;2),0,IF(OR(O11=4,O11=5),U11*2080/12*AB11*AD11,(U11/(CHOOSE(O11,0,9,12,0,0))*AB11*AD11)))</f>
        <v>0</v>
      </c>
      <c r="AJ11" s="603"/>
      <c r="AK11" s="603"/>
      <c r="AL11" s="604"/>
      <c r="AM11" s="596">
        <f>IF(OR(L11&lt;2,O11&lt;2),0,IF(L11=4,FringeRate_Y1_PostDoc,CHOOSE(O11,0,FringeRate_Y1_Faculty,FringeRate_Y1_Faculty,FringeRate_Y1_Classified,FringeRate_Y1_LTE)))</f>
        <v>0</v>
      </c>
      <c r="AN11" s="597"/>
      <c r="AO11" s="635">
        <f>AI11*AM11</f>
        <v>0</v>
      </c>
      <c r="AP11" s="636"/>
      <c r="AQ11" s="602">
        <f>AI11+AO11</f>
        <v>0</v>
      </c>
      <c r="AR11" s="603"/>
      <c r="AS11" s="603"/>
      <c r="AT11" s="611"/>
      <c r="AU11" s="137"/>
      <c r="AV11" s="10"/>
    </row>
    <row r="12" spans="2:48" ht="18" customHeight="1" thickBot="1" x14ac:dyDescent="0.25">
      <c r="B12" s="10"/>
      <c r="C12" s="137"/>
      <c r="D12" s="137"/>
      <c r="E12" s="149" t="s">
        <v>92</v>
      </c>
      <c r="F12" s="618"/>
      <c r="G12" s="619"/>
      <c r="H12" s="619"/>
      <c r="I12" s="619"/>
      <c r="J12" s="619"/>
      <c r="K12" s="620"/>
      <c r="L12" s="114">
        <v>1</v>
      </c>
      <c r="M12" s="124"/>
      <c r="N12" s="125"/>
      <c r="O12" s="114">
        <v>1</v>
      </c>
      <c r="P12" s="124"/>
      <c r="Q12" s="124"/>
      <c r="R12" s="124"/>
      <c r="S12" s="124"/>
      <c r="T12" s="318" t="str">
        <f t="shared" si="0"/>
        <v/>
      </c>
      <c r="U12" s="632"/>
      <c r="V12" s="633"/>
      <c r="W12" s="633"/>
      <c r="X12" s="634"/>
      <c r="Y12" s="114">
        <v>1</v>
      </c>
      <c r="Z12" s="118"/>
      <c r="AA12" s="119"/>
      <c r="AB12" s="434"/>
      <c r="AC12" s="436"/>
      <c r="AD12" s="625"/>
      <c r="AE12" s="626"/>
      <c r="AF12" s="626"/>
      <c r="AG12" s="535">
        <f t="shared" si="1"/>
        <v>0</v>
      </c>
      <c r="AH12" s="536"/>
      <c r="AI12" s="530">
        <f t="shared" si="2"/>
        <v>0</v>
      </c>
      <c r="AJ12" s="531"/>
      <c r="AK12" s="531"/>
      <c r="AL12" s="532"/>
      <c r="AM12" s="533">
        <f t="shared" ref="AM12:AM30" si="3">IF(OR(L12&lt;2,O12&lt;2),0,IF(L12=4,FringeRate_Y1_PostDoc,CHOOSE(O12,0,FringeRate_Y1_Faculty,FringeRate_Y1_Faculty,FringeRate_Y1_Classified,FringeRate_Y1_LTE)))</f>
        <v>0</v>
      </c>
      <c r="AN12" s="534"/>
      <c r="AO12" s="637">
        <f t="shared" ref="AO12:AO30" si="4">AI12*AM12</f>
        <v>0</v>
      </c>
      <c r="AP12" s="638"/>
      <c r="AQ12" s="530">
        <f t="shared" ref="AQ12:AQ30" si="5">AI12+AO12</f>
        <v>0</v>
      </c>
      <c r="AR12" s="531"/>
      <c r="AS12" s="531"/>
      <c r="AT12" s="612"/>
      <c r="AU12" s="137"/>
      <c r="AV12" s="10"/>
    </row>
    <row r="13" spans="2:48" ht="18" customHeight="1" thickBot="1" x14ac:dyDescent="0.25">
      <c r="B13" s="10"/>
      <c r="C13" s="137"/>
      <c r="D13" s="137"/>
      <c r="E13" s="149" t="s">
        <v>93</v>
      </c>
      <c r="F13" s="618"/>
      <c r="G13" s="619"/>
      <c r="H13" s="619"/>
      <c r="I13" s="619"/>
      <c r="J13" s="619"/>
      <c r="K13" s="620"/>
      <c r="L13" s="114">
        <v>1</v>
      </c>
      <c r="M13" s="124"/>
      <c r="N13" s="125"/>
      <c r="O13" s="114">
        <v>1</v>
      </c>
      <c r="P13" s="124"/>
      <c r="Q13" s="124"/>
      <c r="R13" s="124"/>
      <c r="S13" s="124"/>
      <c r="T13" s="318" t="str">
        <f t="shared" si="0"/>
        <v/>
      </c>
      <c r="U13" s="632"/>
      <c r="V13" s="633"/>
      <c r="W13" s="633"/>
      <c r="X13" s="634"/>
      <c r="Y13" s="114">
        <v>1</v>
      </c>
      <c r="Z13" s="118"/>
      <c r="AA13" s="119"/>
      <c r="AB13" s="434"/>
      <c r="AC13" s="436"/>
      <c r="AD13" s="625"/>
      <c r="AE13" s="626"/>
      <c r="AF13" s="626"/>
      <c r="AG13" s="535">
        <f t="shared" si="1"/>
        <v>0</v>
      </c>
      <c r="AH13" s="536"/>
      <c r="AI13" s="530">
        <f t="shared" si="2"/>
        <v>0</v>
      </c>
      <c r="AJ13" s="531"/>
      <c r="AK13" s="531"/>
      <c r="AL13" s="532"/>
      <c r="AM13" s="533">
        <f t="shared" si="3"/>
        <v>0</v>
      </c>
      <c r="AN13" s="534"/>
      <c r="AO13" s="637">
        <f t="shared" si="4"/>
        <v>0</v>
      </c>
      <c r="AP13" s="638"/>
      <c r="AQ13" s="530">
        <f t="shared" si="5"/>
        <v>0</v>
      </c>
      <c r="AR13" s="531"/>
      <c r="AS13" s="531"/>
      <c r="AT13" s="612"/>
      <c r="AU13" s="137"/>
      <c r="AV13" s="10"/>
    </row>
    <row r="14" spans="2:48" ht="18" customHeight="1" thickBot="1" x14ac:dyDescent="0.25">
      <c r="B14" s="10"/>
      <c r="C14" s="137"/>
      <c r="D14" s="137"/>
      <c r="E14" s="149" t="s">
        <v>94</v>
      </c>
      <c r="F14" s="618"/>
      <c r="G14" s="619"/>
      <c r="H14" s="619"/>
      <c r="I14" s="619"/>
      <c r="J14" s="619"/>
      <c r="K14" s="620"/>
      <c r="L14" s="114">
        <v>1</v>
      </c>
      <c r="M14" s="124"/>
      <c r="N14" s="125"/>
      <c r="O14" s="114">
        <v>1</v>
      </c>
      <c r="P14" s="124"/>
      <c r="Q14" s="124"/>
      <c r="R14" s="124"/>
      <c r="S14" s="124"/>
      <c r="T14" s="318" t="str">
        <f t="shared" si="0"/>
        <v/>
      </c>
      <c r="U14" s="632"/>
      <c r="V14" s="633"/>
      <c r="W14" s="633"/>
      <c r="X14" s="634"/>
      <c r="Y14" s="114">
        <v>1</v>
      </c>
      <c r="Z14" s="118"/>
      <c r="AA14" s="119"/>
      <c r="AB14" s="434"/>
      <c r="AC14" s="436"/>
      <c r="AD14" s="625"/>
      <c r="AE14" s="626"/>
      <c r="AF14" s="626"/>
      <c r="AG14" s="535">
        <f t="shared" si="1"/>
        <v>0</v>
      </c>
      <c r="AH14" s="536"/>
      <c r="AI14" s="530">
        <f t="shared" si="2"/>
        <v>0</v>
      </c>
      <c r="AJ14" s="531"/>
      <c r="AK14" s="531"/>
      <c r="AL14" s="532"/>
      <c r="AM14" s="533">
        <f t="shared" si="3"/>
        <v>0</v>
      </c>
      <c r="AN14" s="534"/>
      <c r="AO14" s="637">
        <f t="shared" si="4"/>
        <v>0</v>
      </c>
      <c r="AP14" s="638"/>
      <c r="AQ14" s="530">
        <f t="shared" si="5"/>
        <v>0</v>
      </c>
      <c r="AR14" s="531"/>
      <c r="AS14" s="531"/>
      <c r="AT14" s="612"/>
      <c r="AU14" s="137"/>
      <c r="AV14" s="10"/>
    </row>
    <row r="15" spans="2:48" ht="18" customHeight="1" thickBot="1" x14ac:dyDescent="0.25">
      <c r="B15" s="10"/>
      <c r="C15" s="137"/>
      <c r="D15" s="137"/>
      <c r="E15" s="149" t="s">
        <v>95</v>
      </c>
      <c r="F15" s="618"/>
      <c r="G15" s="619"/>
      <c r="H15" s="619"/>
      <c r="I15" s="619"/>
      <c r="J15" s="619"/>
      <c r="K15" s="620"/>
      <c r="L15" s="114">
        <v>1</v>
      </c>
      <c r="M15" s="124"/>
      <c r="N15" s="125"/>
      <c r="O15" s="114">
        <v>1</v>
      </c>
      <c r="P15" s="124"/>
      <c r="Q15" s="124"/>
      <c r="R15" s="124"/>
      <c r="S15" s="124"/>
      <c r="T15" s="318" t="str">
        <f t="shared" si="0"/>
        <v/>
      </c>
      <c r="U15" s="632"/>
      <c r="V15" s="633"/>
      <c r="W15" s="633"/>
      <c r="X15" s="634"/>
      <c r="Y15" s="114">
        <v>1</v>
      </c>
      <c r="Z15" s="118"/>
      <c r="AA15" s="119"/>
      <c r="AB15" s="434"/>
      <c r="AC15" s="436"/>
      <c r="AD15" s="625"/>
      <c r="AE15" s="626"/>
      <c r="AF15" s="626"/>
      <c r="AG15" s="535">
        <f t="shared" si="1"/>
        <v>0</v>
      </c>
      <c r="AH15" s="536"/>
      <c r="AI15" s="530">
        <f t="shared" si="2"/>
        <v>0</v>
      </c>
      <c r="AJ15" s="531"/>
      <c r="AK15" s="531"/>
      <c r="AL15" s="532"/>
      <c r="AM15" s="533">
        <f t="shared" si="3"/>
        <v>0</v>
      </c>
      <c r="AN15" s="534"/>
      <c r="AO15" s="637">
        <f t="shared" si="4"/>
        <v>0</v>
      </c>
      <c r="AP15" s="638"/>
      <c r="AQ15" s="530">
        <f t="shared" si="5"/>
        <v>0</v>
      </c>
      <c r="AR15" s="531"/>
      <c r="AS15" s="531"/>
      <c r="AT15" s="612"/>
      <c r="AU15" s="137"/>
      <c r="AV15" s="10"/>
    </row>
    <row r="16" spans="2:48" ht="18" customHeight="1" thickBot="1" x14ac:dyDescent="0.25">
      <c r="B16" s="10"/>
      <c r="C16" s="137"/>
      <c r="D16" s="137"/>
      <c r="E16" s="149" t="s">
        <v>96</v>
      </c>
      <c r="F16" s="618"/>
      <c r="G16" s="619"/>
      <c r="H16" s="619"/>
      <c r="I16" s="619"/>
      <c r="J16" s="619"/>
      <c r="K16" s="620"/>
      <c r="L16" s="114">
        <v>1</v>
      </c>
      <c r="M16" s="124"/>
      <c r="N16" s="125"/>
      <c r="O16" s="114">
        <v>1</v>
      </c>
      <c r="P16" s="124"/>
      <c r="Q16" s="124"/>
      <c r="R16" s="124"/>
      <c r="S16" s="124"/>
      <c r="T16" s="318" t="str">
        <f t="shared" si="0"/>
        <v/>
      </c>
      <c r="U16" s="632"/>
      <c r="V16" s="633"/>
      <c r="W16" s="633"/>
      <c r="X16" s="634"/>
      <c r="Y16" s="114">
        <v>1</v>
      </c>
      <c r="Z16" s="118"/>
      <c r="AA16" s="119"/>
      <c r="AB16" s="434"/>
      <c r="AC16" s="436"/>
      <c r="AD16" s="625"/>
      <c r="AE16" s="626"/>
      <c r="AF16" s="626"/>
      <c r="AG16" s="535">
        <f t="shared" si="1"/>
        <v>0</v>
      </c>
      <c r="AH16" s="536"/>
      <c r="AI16" s="530">
        <f t="shared" si="2"/>
        <v>0</v>
      </c>
      <c r="AJ16" s="531"/>
      <c r="AK16" s="531"/>
      <c r="AL16" s="532"/>
      <c r="AM16" s="533">
        <f t="shared" si="3"/>
        <v>0</v>
      </c>
      <c r="AN16" s="534"/>
      <c r="AO16" s="637">
        <f t="shared" si="4"/>
        <v>0</v>
      </c>
      <c r="AP16" s="638"/>
      <c r="AQ16" s="530">
        <f t="shared" si="5"/>
        <v>0</v>
      </c>
      <c r="AR16" s="531"/>
      <c r="AS16" s="531"/>
      <c r="AT16" s="612"/>
      <c r="AU16" s="137"/>
      <c r="AV16" s="10"/>
    </row>
    <row r="17" spans="2:48" ht="18" customHeight="1" thickBot="1" x14ac:dyDescent="0.25">
      <c r="B17" s="10"/>
      <c r="C17" s="137"/>
      <c r="D17" s="137"/>
      <c r="E17" s="149" t="s">
        <v>97</v>
      </c>
      <c r="F17" s="618"/>
      <c r="G17" s="619"/>
      <c r="H17" s="619"/>
      <c r="I17" s="619"/>
      <c r="J17" s="619"/>
      <c r="K17" s="620"/>
      <c r="L17" s="114">
        <v>1</v>
      </c>
      <c r="M17" s="124"/>
      <c r="N17" s="125"/>
      <c r="O17" s="114">
        <v>1</v>
      </c>
      <c r="P17" s="124"/>
      <c r="Q17" s="124"/>
      <c r="R17" s="124"/>
      <c r="S17" s="124"/>
      <c r="T17" s="318" t="str">
        <f t="shared" si="0"/>
        <v/>
      </c>
      <c r="U17" s="632"/>
      <c r="V17" s="633"/>
      <c r="W17" s="633"/>
      <c r="X17" s="634"/>
      <c r="Y17" s="114">
        <v>1</v>
      </c>
      <c r="Z17" s="118"/>
      <c r="AA17" s="119"/>
      <c r="AB17" s="434"/>
      <c r="AC17" s="436"/>
      <c r="AD17" s="625"/>
      <c r="AE17" s="626"/>
      <c r="AF17" s="626"/>
      <c r="AG17" s="535">
        <f t="shared" si="1"/>
        <v>0</v>
      </c>
      <c r="AH17" s="536"/>
      <c r="AI17" s="530">
        <f t="shared" si="2"/>
        <v>0</v>
      </c>
      <c r="AJ17" s="531"/>
      <c r="AK17" s="531"/>
      <c r="AL17" s="532"/>
      <c r="AM17" s="533">
        <f t="shared" si="3"/>
        <v>0</v>
      </c>
      <c r="AN17" s="534"/>
      <c r="AO17" s="637">
        <f t="shared" si="4"/>
        <v>0</v>
      </c>
      <c r="AP17" s="638"/>
      <c r="AQ17" s="530">
        <f t="shared" si="5"/>
        <v>0</v>
      </c>
      <c r="AR17" s="531"/>
      <c r="AS17" s="531"/>
      <c r="AT17" s="612"/>
      <c r="AU17" s="137"/>
      <c r="AV17" s="10"/>
    </row>
    <row r="18" spans="2:48" ht="18" customHeight="1" thickBot="1" x14ac:dyDescent="0.25">
      <c r="B18" s="10"/>
      <c r="C18" s="137"/>
      <c r="D18" s="137"/>
      <c r="E18" s="149" t="s">
        <v>98</v>
      </c>
      <c r="F18" s="618"/>
      <c r="G18" s="619"/>
      <c r="H18" s="619"/>
      <c r="I18" s="619"/>
      <c r="J18" s="619"/>
      <c r="K18" s="620"/>
      <c r="L18" s="114">
        <v>1</v>
      </c>
      <c r="M18" s="124"/>
      <c r="N18" s="125"/>
      <c r="O18" s="114">
        <v>1</v>
      </c>
      <c r="P18" s="124"/>
      <c r="Q18" s="124"/>
      <c r="R18" s="124"/>
      <c r="S18" s="124"/>
      <c r="T18" s="318" t="str">
        <f t="shared" si="0"/>
        <v/>
      </c>
      <c r="U18" s="632"/>
      <c r="V18" s="633"/>
      <c r="W18" s="633"/>
      <c r="X18" s="634"/>
      <c r="Y18" s="114">
        <v>1</v>
      </c>
      <c r="Z18" s="118"/>
      <c r="AA18" s="119"/>
      <c r="AB18" s="434"/>
      <c r="AC18" s="436"/>
      <c r="AD18" s="625"/>
      <c r="AE18" s="626"/>
      <c r="AF18" s="626"/>
      <c r="AG18" s="535">
        <f t="shared" si="1"/>
        <v>0</v>
      </c>
      <c r="AH18" s="536"/>
      <c r="AI18" s="530">
        <f t="shared" si="2"/>
        <v>0</v>
      </c>
      <c r="AJ18" s="531"/>
      <c r="AK18" s="531"/>
      <c r="AL18" s="532"/>
      <c r="AM18" s="533">
        <f t="shared" si="3"/>
        <v>0</v>
      </c>
      <c r="AN18" s="534"/>
      <c r="AO18" s="637">
        <f t="shared" si="4"/>
        <v>0</v>
      </c>
      <c r="AP18" s="638"/>
      <c r="AQ18" s="530">
        <f t="shared" si="5"/>
        <v>0</v>
      </c>
      <c r="AR18" s="531"/>
      <c r="AS18" s="531"/>
      <c r="AT18" s="612"/>
      <c r="AU18" s="137"/>
      <c r="AV18" s="10"/>
    </row>
    <row r="19" spans="2:48" ht="18" customHeight="1" thickBot="1" x14ac:dyDescent="0.25">
      <c r="B19" s="10"/>
      <c r="C19" s="137"/>
      <c r="D19" s="137"/>
      <c r="E19" s="149" t="s">
        <v>99</v>
      </c>
      <c r="F19" s="618"/>
      <c r="G19" s="619"/>
      <c r="H19" s="619"/>
      <c r="I19" s="619"/>
      <c r="J19" s="619"/>
      <c r="K19" s="620"/>
      <c r="L19" s="114">
        <v>1</v>
      </c>
      <c r="M19" s="124"/>
      <c r="N19" s="125"/>
      <c r="O19" s="114">
        <v>1</v>
      </c>
      <c r="P19" s="124"/>
      <c r="Q19" s="124"/>
      <c r="R19" s="124"/>
      <c r="S19" s="124"/>
      <c r="T19" s="318" t="str">
        <f t="shared" si="0"/>
        <v/>
      </c>
      <c r="U19" s="632"/>
      <c r="V19" s="633"/>
      <c r="W19" s="633"/>
      <c r="X19" s="634"/>
      <c r="Y19" s="114">
        <v>1</v>
      </c>
      <c r="Z19" s="118"/>
      <c r="AA19" s="119"/>
      <c r="AB19" s="434"/>
      <c r="AC19" s="436"/>
      <c r="AD19" s="625"/>
      <c r="AE19" s="626"/>
      <c r="AF19" s="626"/>
      <c r="AG19" s="535">
        <f t="shared" si="1"/>
        <v>0</v>
      </c>
      <c r="AH19" s="536"/>
      <c r="AI19" s="530">
        <f t="shared" si="2"/>
        <v>0</v>
      </c>
      <c r="AJ19" s="531"/>
      <c r="AK19" s="531"/>
      <c r="AL19" s="532"/>
      <c r="AM19" s="533">
        <f t="shared" si="3"/>
        <v>0</v>
      </c>
      <c r="AN19" s="534"/>
      <c r="AO19" s="637">
        <f t="shared" si="4"/>
        <v>0</v>
      </c>
      <c r="AP19" s="638"/>
      <c r="AQ19" s="530">
        <f t="shared" si="5"/>
        <v>0</v>
      </c>
      <c r="AR19" s="531"/>
      <c r="AS19" s="531"/>
      <c r="AT19" s="612"/>
      <c r="AU19" s="137"/>
      <c r="AV19" s="10"/>
    </row>
    <row r="20" spans="2:48" ht="18" customHeight="1" thickBot="1" x14ac:dyDescent="0.25">
      <c r="B20" s="10"/>
      <c r="C20" s="137"/>
      <c r="D20" s="137"/>
      <c r="E20" s="149" t="s">
        <v>141</v>
      </c>
      <c r="F20" s="618"/>
      <c r="G20" s="619"/>
      <c r="H20" s="619"/>
      <c r="I20" s="619"/>
      <c r="J20" s="619"/>
      <c r="K20" s="620"/>
      <c r="L20" s="114">
        <v>1</v>
      </c>
      <c r="M20" s="124"/>
      <c r="N20" s="125"/>
      <c r="O20" s="114">
        <v>1</v>
      </c>
      <c r="P20" s="124"/>
      <c r="Q20" s="124"/>
      <c r="R20" s="124"/>
      <c r="S20" s="124"/>
      <c r="T20" s="318" t="str">
        <f t="shared" si="0"/>
        <v/>
      </c>
      <c r="U20" s="632"/>
      <c r="V20" s="633"/>
      <c r="W20" s="633"/>
      <c r="X20" s="634"/>
      <c r="Y20" s="114">
        <v>1</v>
      </c>
      <c r="Z20" s="118"/>
      <c r="AA20" s="119"/>
      <c r="AB20" s="434"/>
      <c r="AC20" s="436"/>
      <c r="AD20" s="625"/>
      <c r="AE20" s="626"/>
      <c r="AF20" s="626"/>
      <c r="AG20" s="535">
        <f t="shared" si="1"/>
        <v>0</v>
      </c>
      <c r="AH20" s="536"/>
      <c r="AI20" s="530">
        <f t="shared" si="2"/>
        <v>0</v>
      </c>
      <c r="AJ20" s="531"/>
      <c r="AK20" s="531"/>
      <c r="AL20" s="532"/>
      <c r="AM20" s="533">
        <f t="shared" si="3"/>
        <v>0</v>
      </c>
      <c r="AN20" s="534"/>
      <c r="AO20" s="637">
        <f t="shared" si="4"/>
        <v>0</v>
      </c>
      <c r="AP20" s="638"/>
      <c r="AQ20" s="530">
        <f t="shared" si="5"/>
        <v>0</v>
      </c>
      <c r="AR20" s="531"/>
      <c r="AS20" s="531"/>
      <c r="AT20" s="612"/>
      <c r="AU20" s="137"/>
      <c r="AV20" s="10"/>
    </row>
    <row r="21" spans="2:48" ht="18" customHeight="1" thickBot="1" x14ac:dyDescent="0.25">
      <c r="B21" s="10"/>
      <c r="C21" s="137"/>
      <c r="D21" s="137"/>
      <c r="E21" s="149" t="s">
        <v>100</v>
      </c>
      <c r="F21" s="618"/>
      <c r="G21" s="619"/>
      <c r="H21" s="619"/>
      <c r="I21" s="619"/>
      <c r="J21" s="619"/>
      <c r="K21" s="620"/>
      <c r="L21" s="114">
        <v>1</v>
      </c>
      <c r="M21" s="124"/>
      <c r="N21" s="125"/>
      <c r="O21" s="114">
        <v>1</v>
      </c>
      <c r="P21" s="124"/>
      <c r="Q21" s="124"/>
      <c r="R21" s="124"/>
      <c r="S21" s="124"/>
      <c r="T21" s="318" t="str">
        <f t="shared" si="0"/>
        <v/>
      </c>
      <c r="U21" s="632"/>
      <c r="V21" s="633"/>
      <c r="W21" s="633"/>
      <c r="X21" s="634"/>
      <c r="Y21" s="114">
        <v>1</v>
      </c>
      <c r="Z21" s="118"/>
      <c r="AA21" s="119"/>
      <c r="AB21" s="434"/>
      <c r="AC21" s="436"/>
      <c r="AD21" s="625"/>
      <c r="AE21" s="626"/>
      <c r="AF21" s="626"/>
      <c r="AG21" s="535">
        <f t="shared" si="1"/>
        <v>0</v>
      </c>
      <c r="AH21" s="536"/>
      <c r="AI21" s="530">
        <f t="shared" si="2"/>
        <v>0</v>
      </c>
      <c r="AJ21" s="531"/>
      <c r="AK21" s="531"/>
      <c r="AL21" s="532"/>
      <c r="AM21" s="533">
        <f t="shared" si="3"/>
        <v>0</v>
      </c>
      <c r="AN21" s="534"/>
      <c r="AO21" s="637">
        <f t="shared" si="4"/>
        <v>0</v>
      </c>
      <c r="AP21" s="638"/>
      <c r="AQ21" s="530">
        <f t="shared" si="5"/>
        <v>0</v>
      </c>
      <c r="AR21" s="531"/>
      <c r="AS21" s="531"/>
      <c r="AT21" s="612"/>
      <c r="AU21" s="137"/>
      <c r="AV21" s="10"/>
    </row>
    <row r="22" spans="2:48" ht="18" customHeight="1" thickBot="1" x14ac:dyDescent="0.25">
      <c r="B22" s="10"/>
      <c r="C22" s="137"/>
      <c r="D22" s="137"/>
      <c r="E22" s="149" t="s">
        <v>101</v>
      </c>
      <c r="F22" s="618"/>
      <c r="G22" s="619"/>
      <c r="H22" s="619"/>
      <c r="I22" s="619"/>
      <c r="J22" s="619"/>
      <c r="K22" s="620"/>
      <c r="L22" s="114">
        <v>1</v>
      </c>
      <c r="M22" s="124"/>
      <c r="N22" s="125"/>
      <c r="O22" s="114">
        <v>1</v>
      </c>
      <c r="P22" s="124"/>
      <c r="Q22" s="124"/>
      <c r="R22" s="124"/>
      <c r="S22" s="124"/>
      <c r="T22" s="318" t="str">
        <f t="shared" si="0"/>
        <v/>
      </c>
      <c r="U22" s="632"/>
      <c r="V22" s="633"/>
      <c r="W22" s="633"/>
      <c r="X22" s="634"/>
      <c r="Y22" s="114">
        <v>1</v>
      </c>
      <c r="Z22" s="118"/>
      <c r="AA22" s="119"/>
      <c r="AB22" s="434"/>
      <c r="AC22" s="436"/>
      <c r="AD22" s="625"/>
      <c r="AE22" s="626"/>
      <c r="AF22" s="626"/>
      <c r="AG22" s="535">
        <f t="shared" si="1"/>
        <v>0</v>
      </c>
      <c r="AH22" s="536"/>
      <c r="AI22" s="530">
        <f t="shared" si="2"/>
        <v>0</v>
      </c>
      <c r="AJ22" s="531"/>
      <c r="AK22" s="531"/>
      <c r="AL22" s="532"/>
      <c r="AM22" s="533">
        <f t="shared" si="3"/>
        <v>0</v>
      </c>
      <c r="AN22" s="534"/>
      <c r="AO22" s="637">
        <f t="shared" si="4"/>
        <v>0</v>
      </c>
      <c r="AP22" s="638"/>
      <c r="AQ22" s="530">
        <f t="shared" si="5"/>
        <v>0</v>
      </c>
      <c r="AR22" s="531"/>
      <c r="AS22" s="531"/>
      <c r="AT22" s="612"/>
      <c r="AU22" s="137"/>
      <c r="AV22" s="10"/>
    </row>
    <row r="23" spans="2:48" ht="18" customHeight="1" thickBot="1" x14ac:dyDescent="0.25">
      <c r="B23" s="10"/>
      <c r="C23" s="137"/>
      <c r="D23" s="137"/>
      <c r="E23" s="149" t="s">
        <v>102</v>
      </c>
      <c r="F23" s="618"/>
      <c r="G23" s="619"/>
      <c r="H23" s="619"/>
      <c r="I23" s="619"/>
      <c r="J23" s="619"/>
      <c r="K23" s="620"/>
      <c r="L23" s="114">
        <v>1</v>
      </c>
      <c r="M23" s="124"/>
      <c r="N23" s="125"/>
      <c r="O23" s="114">
        <v>1</v>
      </c>
      <c r="P23" s="124"/>
      <c r="Q23" s="124"/>
      <c r="R23" s="124"/>
      <c r="S23" s="124"/>
      <c r="T23" s="318" t="str">
        <f t="shared" si="0"/>
        <v/>
      </c>
      <c r="U23" s="632"/>
      <c r="V23" s="633"/>
      <c r="W23" s="633"/>
      <c r="X23" s="634"/>
      <c r="Y23" s="114">
        <v>1</v>
      </c>
      <c r="Z23" s="118"/>
      <c r="AA23" s="119"/>
      <c r="AB23" s="434"/>
      <c r="AC23" s="436"/>
      <c r="AD23" s="625"/>
      <c r="AE23" s="626"/>
      <c r="AF23" s="626"/>
      <c r="AG23" s="535">
        <f t="shared" si="1"/>
        <v>0</v>
      </c>
      <c r="AH23" s="536"/>
      <c r="AI23" s="530">
        <f t="shared" si="2"/>
        <v>0</v>
      </c>
      <c r="AJ23" s="531"/>
      <c r="AK23" s="531"/>
      <c r="AL23" s="532"/>
      <c r="AM23" s="533">
        <f t="shared" si="3"/>
        <v>0</v>
      </c>
      <c r="AN23" s="534"/>
      <c r="AO23" s="637">
        <f t="shared" si="4"/>
        <v>0</v>
      </c>
      <c r="AP23" s="638"/>
      <c r="AQ23" s="530">
        <f t="shared" si="5"/>
        <v>0</v>
      </c>
      <c r="AR23" s="531"/>
      <c r="AS23" s="531"/>
      <c r="AT23" s="612"/>
      <c r="AU23" s="137"/>
      <c r="AV23" s="10"/>
    </row>
    <row r="24" spans="2:48" ht="18" customHeight="1" thickBot="1" x14ac:dyDescent="0.25">
      <c r="B24" s="10"/>
      <c r="C24" s="137"/>
      <c r="D24" s="137"/>
      <c r="E24" s="149" t="s">
        <v>103</v>
      </c>
      <c r="F24" s="618"/>
      <c r="G24" s="619"/>
      <c r="H24" s="619"/>
      <c r="I24" s="619"/>
      <c r="J24" s="619"/>
      <c r="K24" s="620"/>
      <c r="L24" s="114">
        <v>1</v>
      </c>
      <c r="M24" s="124"/>
      <c r="N24" s="125"/>
      <c r="O24" s="114">
        <v>1</v>
      </c>
      <c r="P24" s="124"/>
      <c r="Q24" s="124"/>
      <c r="R24" s="124"/>
      <c r="S24" s="124"/>
      <c r="T24" s="318" t="str">
        <f t="shared" si="0"/>
        <v/>
      </c>
      <c r="U24" s="632"/>
      <c r="V24" s="633"/>
      <c r="W24" s="633"/>
      <c r="X24" s="634"/>
      <c r="Y24" s="114">
        <v>1</v>
      </c>
      <c r="Z24" s="118"/>
      <c r="AA24" s="119"/>
      <c r="AB24" s="434"/>
      <c r="AC24" s="436"/>
      <c r="AD24" s="625"/>
      <c r="AE24" s="626"/>
      <c r="AF24" s="626"/>
      <c r="AG24" s="535">
        <f t="shared" si="1"/>
        <v>0</v>
      </c>
      <c r="AH24" s="536"/>
      <c r="AI24" s="530">
        <f t="shared" si="2"/>
        <v>0</v>
      </c>
      <c r="AJ24" s="531"/>
      <c r="AK24" s="531"/>
      <c r="AL24" s="532"/>
      <c r="AM24" s="533">
        <f t="shared" si="3"/>
        <v>0</v>
      </c>
      <c r="AN24" s="534"/>
      <c r="AO24" s="637">
        <f t="shared" si="4"/>
        <v>0</v>
      </c>
      <c r="AP24" s="638"/>
      <c r="AQ24" s="530">
        <f t="shared" si="5"/>
        <v>0</v>
      </c>
      <c r="AR24" s="531"/>
      <c r="AS24" s="531"/>
      <c r="AT24" s="612"/>
      <c r="AU24" s="137"/>
      <c r="AV24" s="10"/>
    </row>
    <row r="25" spans="2:48" ht="18" customHeight="1" thickBot="1" x14ac:dyDescent="0.25">
      <c r="B25" s="10"/>
      <c r="C25" s="137"/>
      <c r="D25" s="137"/>
      <c r="E25" s="149" t="s">
        <v>104</v>
      </c>
      <c r="F25" s="618"/>
      <c r="G25" s="619"/>
      <c r="H25" s="619"/>
      <c r="I25" s="619"/>
      <c r="J25" s="619"/>
      <c r="K25" s="620"/>
      <c r="L25" s="114">
        <v>1</v>
      </c>
      <c r="M25" s="124"/>
      <c r="N25" s="125"/>
      <c r="O25" s="114">
        <v>1</v>
      </c>
      <c r="P25" s="124"/>
      <c r="Q25" s="124"/>
      <c r="R25" s="124"/>
      <c r="S25" s="124"/>
      <c r="T25" s="318" t="str">
        <f t="shared" si="0"/>
        <v/>
      </c>
      <c r="U25" s="632"/>
      <c r="V25" s="633"/>
      <c r="W25" s="633"/>
      <c r="X25" s="634"/>
      <c r="Y25" s="114">
        <v>1</v>
      </c>
      <c r="Z25" s="118"/>
      <c r="AA25" s="119"/>
      <c r="AB25" s="434"/>
      <c r="AC25" s="436"/>
      <c r="AD25" s="625"/>
      <c r="AE25" s="626"/>
      <c r="AF25" s="626"/>
      <c r="AG25" s="535">
        <f t="shared" si="1"/>
        <v>0</v>
      </c>
      <c r="AH25" s="536"/>
      <c r="AI25" s="530">
        <f t="shared" si="2"/>
        <v>0</v>
      </c>
      <c r="AJ25" s="531"/>
      <c r="AK25" s="531"/>
      <c r="AL25" s="532"/>
      <c r="AM25" s="533">
        <f t="shared" si="3"/>
        <v>0</v>
      </c>
      <c r="AN25" s="534"/>
      <c r="AO25" s="637">
        <f t="shared" si="4"/>
        <v>0</v>
      </c>
      <c r="AP25" s="638"/>
      <c r="AQ25" s="530">
        <f t="shared" si="5"/>
        <v>0</v>
      </c>
      <c r="AR25" s="531"/>
      <c r="AS25" s="531"/>
      <c r="AT25" s="612"/>
      <c r="AU25" s="137"/>
      <c r="AV25" s="10"/>
    </row>
    <row r="26" spans="2:48" ht="18" customHeight="1" thickBot="1" x14ac:dyDescent="0.25">
      <c r="B26" s="10"/>
      <c r="C26" s="137"/>
      <c r="D26" s="137"/>
      <c r="E26" s="149" t="s">
        <v>105</v>
      </c>
      <c r="F26" s="618"/>
      <c r="G26" s="619"/>
      <c r="H26" s="619"/>
      <c r="I26" s="619"/>
      <c r="J26" s="619"/>
      <c r="K26" s="620"/>
      <c r="L26" s="114">
        <v>1</v>
      </c>
      <c r="M26" s="124"/>
      <c r="N26" s="125"/>
      <c r="O26" s="114">
        <v>1</v>
      </c>
      <c r="P26" s="124"/>
      <c r="Q26" s="124"/>
      <c r="R26" s="124"/>
      <c r="S26" s="124"/>
      <c r="T26" s="318" t="str">
        <f t="shared" si="0"/>
        <v/>
      </c>
      <c r="U26" s="632"/>
      <c r="V26" s="633"/>
      <c r="W26" s="633"/>
      <c r="X26" s="634"/>
      <c r="Y26" s="114">
        <v>1</v>
      </c>
      <c r="Z26" s="118"/>
      <c r="AA26" s="119"/>
      <c r="AB26" s="434"/>
      <c r="AC26" s="436"/>
      <c r="AD26" s="625"/>
      <c r="AE26" s="626"/>
      <c r="AF26" s="626"/>
      <c r="AG26" s="535">
        <f t="shared" si="1"/>
        <v>0</v>
      </c>
      <c r="AH26" s="536"/>
      <c r="AI26" s="530">
        <f t="shared" si="2"/>
        <v>0</v>
      </c>
      <c r="AJ26" s="531"/>
      <c r="AK26" s="531"/>
      <c r="AL26" s="532"/>
      <c r="AM26" s="533">
        <f t="shared" si="3"/>
        <v>0</v>
      </c>
      <c r="AN26" s="534"/>
      <c r="AO26" s="637">
        <f t="shared" si="4"/>
        <v>0</v>
      </c>
      <c r="AP26" s="638"/>
      <c r="AQ26" s="530">
        <f t="shared" si="5"/>
        <v>0</v>
      </c>
      <c r="AR26" s="531"/>
      <c r="AS26" s="531"/>
      <c r="AT26" s="612"/>
      <c r="AU26" s="137"/>
      <c r="AV26" s="10"/>
    </row>
    <row r="27" spans="2:48" ht="18" customHeight="1" thickBot="1" x14ac:dyDescent="0.25">
      <c r="B27" s="10"/>
      <c r="C27" s="137"/>
      <c r="D27" s="137"/>
      <c r="E27" s="149" t="s">
        <v>106</v>
      </c>
      <c r="F27" s="618"/>
      <c r="G27" s="619"/>
      <c r="H27" s="619"/>
      <c r="I27" s="619"/>
      <c r="J27" s="619"/>
      <c r="K27" s="620"/>
      <c r="L27" s="114">
        <v>1</v>
      </c>
      <c r="M27" s="124"/>
      <c r="N27" s="125"/>
      <c r="O27" s="114">
        <v>1</v>
      </c>
      <c r="P27" s="124"/>
      <c r="Q27" s="124"/>
      <c r="R27" s="124"/>
      <c r="S27" s="124"/>
      <c r="T27" s="318" t="str">
        <f t="shared" si="0"/>
        <v/>
      </c>
      <c r="U27" s="632"/>
      <c r="V27" s="633"/>
      <c r="W27" s="633"/>
      <c r="X27" s="634"/>
      <c r="Y27" s="114">
        <v>1</v>
      </c>
      <c r="Z27" s="118"/>
      <c r="AA27" s="119"/>
      <c r="AB27" s="434"/>
      <c r="AC27" s="436"/>
      <c r="AD27" s="625"/>
      <c r="AE27" s="626"/>
      <c r="AF27" s="626"/>
      <c r="AG27" s="535">
        <f t="shared" si="1"/>
        <v>0</v>
      </c>
      <c r="AH27" s="536"/>
      <c r="AI27" s="530">
        <f t="shared" si="2"/>
        <v>0</v>
      </c>
      <c r="AJ27" s="531"/>
      <c r="AK27" s="531"/>
      <c r="AL27" s="532"/>
      <c r="AM27" s="533">
        <f t="shared" si="3"/>
        <v>0</v>
      </c>
      <c r="AN27" s="534"/>
      <c r="AO27" s="637">
        <f t="shared" si="4"/>
        <v>0</v>
      </c>
      <c r="AP27" s="638"/>
      <c r="AQ27" s="530">
        <f t="shared" si="5"/>
        <v>0</v>
      </c>
      <c r="AR27" s="531"/>
      <c r="AS27" s="531"/>
      <c r="AT27" s="612"/>
      <c r="AU27" s="137"/>
      <c r="AV27" s="10"/>
    </row>
    <row r="28" spans="2:48" ht="18" customHeight="1" thickBot="1" x14ac:dyDescent="0.25">
      <c r="B28" s="10"/>
      <c r="C28" s="137"/>
      <c r="D28" s="137"/>
      <c r="E28" s="149" t="s">
        <v>107</v>
      </c>
      <c r="F28" s="618"/>
      <c r="G28" s="619"/>
      <c r="H28" s="619"/>
      <c r="I28" s="619"/>
      <c r="J28" s="619"/>
      <c r="K28" s="620"/>
      <c r="L28" s="114">
        <v>1</v>
      </c>
      <c r="M28" s="124"/>
      <c r="N28" s="125"/>
      <c r="O28" s="114">
        <v>1</v>
      </c>
      <c r="P28" s="124"/>
      <c r="Q28" s="124"/>
      <c r="R28" s="124"/>
      <c r="S28" s="124"/>
      <c r="T28" s="318" t="str">
        <f t="shared" si="0"/>
        <v/>
      </c>
      <c r="U28" s="632"/>
      <c r="V28" s="633"/>
      <c r="W28" s="633"/>
      <c r="X28" s="634"/>
      <c r="Y28" s="114">
        <v>1</v>
      </c>
      <c r="Z28" s="118"/>
      <c r="AA28" s="119"/>
      <c r="AB28" s="434"/>
      <c r="AC28" s="436"/>
      <c r="AD28" s="625"/>
      <c r="AE28" s="626"/>
      <c r="AF28" s="626"/>
      <c r="AG28" s="535">
        <f t="shared" si="1"/>
        <v>0</v>
      </c>
      <c r="AH28" s="536"/>
      <c r="AI28" s="530">
        <f t="shared" si="2"/>
        <v>0</v>
      </c>
      <c r="AJ28" s="531"/>
      <c r="AK28" s="531"/>
      <c r="AL28" s="532"/>
      <c r="AM28" s="533">
        <f t="shared" si="3"/>
        <v>0</v>
      </c>
      <c r="AN28" s="534"/>
      <c r="AO28" s="637">
        <f t="shared" si="4"/>
        <v>0</v>
      </c>
      <c r="AP28" s="638"/>
      <c r="AQ28" s="530">
        <f t="shared" si="5"/>
        <v>0</v>
      </c>
      <c r="AR28" s="531"/>
      <c r="AS28" s="531"/>
      <c r="AT28" s="612"/>
      <c r="AU28" s="137"/>
      <c r="AV28" s="10"/>
    </row>
    <row r="29" spans="2:48" ht="18" customHeight="1" thickBot="1" x14ac:dyDescent="0.25">
      <c r="B29" s="10"/>
      <c r="C29" s="137"/>
      <c r="D29" s="137"/>
      <c r="E29" s="149" t="s">
        <v>108</v>
      </c>
      <c r="F29" s="618"/>
      <c r="G29" s="619"/>
      <c r="H29" s="619"/>
      <c r="I29" s="619"/>
      <c r="J29" s="619"/>
      <c r="K29" s="620"/>
      <c r="L29" s="114">
        <v>1</v>
      </c>
      <c r="M29" s="124"/>
      <c r="N29" s="125"/>
      <c r="O29" s="114">
        <v>1</v>
      </c>
      <c r="P29" s="124"/>
      <c r="Q29" s="124"/>
      <c r="R29" s="124"/>
      <c r="S29" s="124"/>
      <c r="T29" s="318" t="str">
        <f t="shared" si="0"/>
        <v/>
      </c>
      <c r="U29" s="632"/>
      <c r="V29" s="633"/>
      <c r="W29" s="633"/>
      <c r="X29" s="634"/>
      <c r="Y29" s="114">
        <v>1</v>
      </c>
      <c r="Z29" s="118"/>
      <c r="AA29" s="119"/>
      <c r="AB29" s="434"/>
      <c r="AC29" s="436"/>
      <c r="AD29" s="625"/>
      <c r="AE29" s="626"/>
      <c r="AF29" s="626"/>
      <c r="AG29" s="535">
        <f t="shared" si="1"/>
        <v>0</v>
      </c>
      <c r="AH29" s="536"/>
      <c r="AI29" s="530">
        <f t="shared" si="2"/>
        <v>0</v>
      </c>
      <c r="AJ29" s="531"/>
      <c r="AK29" s="531"/>
      <c r="AL29" s="532"/>
      <c r="AM29" s="533">
        <f t="shared" si="3"/>
        <v>0</v>
      </c>
      <c r="AN29" s="534"/>
      <c r="AO29" s="637">
        <f t="shared" si="4"/>
        <v>0</v>
      </c>
      <c r="AP29" s="638"/>
      <c r="AQ29" s="530">
        <f t="shared" si="5"/>
        <v>0</v>
      </c>
      <c r="AR29" s="531"/>
      <c r="AS29" s="531"/>
      <c r="AT29" s="612"/>
      <c r="AU29" s="137"/>
      <c r="AV29" s="10"/>
    </row>
    <row r="30" spans="2:48" ht="18" customHeight="1" thickBot="1" x14ac:dyDescent="0.25">
      <c r="B30" s="10"/>
      <c r="C30" s="137"/>
      <c r="D30" s="137"/>
      <c r="E30" s="149" t="s">
        <v>109</v>
      </c>
      <c r="F30" s="673"/>
      <c r="G30" s="674"/>
      <c r="H30" s="674"/>
      <c r="I30" s="674"/>
      <c r="J30" s="674"/>
      <c r="K30" s="675"/>
      <c r="L30" s="115">
        <v>1</v>
      </c>
      <c r="M30" s="126"/>
      <c r="N30" s="127"/>
      <c r="O30" s="115">
        <v>1</v>
      </c>
      <c r="P30" s="126"/>
      <c r="Q30" s="126"/>
      <c r="R30" s="126"/>
      <c r="S30" s="126"/>
      <c r="T30" s="318" t="str">
        <f t="shared" si="0"/>
        <v/>
      </c>
      <c r="U30" s="639"/>
      <c r="V30" s="640"/>
      <c r="W30" s="640"/>
      <c r="X30" s="641"/>
      <c r="Y30" s="115">
        <v>1</v>
      </c>
      <c r="Z30" s="120"/>
      <c r="AA30" s="121"/>
      <c r="AB30" s="598"/>
      <c r="AC30" s="599"/>
      <c r="AD30" s="647"/>
      <c r="AE30" s="648"/>
      <c r="AF30" s="648"/>
      <c r="AG30" s="600">
        <f t="shared" si="1"/>
        <v>0</v>
      </c>
      <c r="AH30" s="601"/>
      <c r="AI30" s="649">
        <f t="shared" si="2"/>
        <v>0</v>
      </c>
      <c r="AJ30" s="650"/>
      <c r="AK30" s="650"/>
      <c r="AL30" s="651"/>
      <c r="AM30" s="670">
        <f t="shared" si="3"/>
        <v>0</v>
      </c>
      <c r="AN30" s="671"/>
      <c r="AO30" s="664">
        <f t="shared" si="4"/>
        <v>0</v>
      </c>
      <c r="AP30" s="665"/>
      <c r="AQ30" s="649">
        <f t="shared" si="5"/>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525">
        <f>SUM(AI11:AL30)</f>
        <v>0</v>
      </c>
      <c r="AJ32" s="526"/>
      <c r="AK32" s="526"/>
      <c r="AL32" s="527"/>
      <c r="AM32" s="154"/>
      <c r="AN32" s="154"/>
      <c r="AO32" s="525">
        <f>SUM(AO11:AP30)</f>
        <v>0</v>
      </c>
      <c r="AP32" s="526"/>
      <c r="AQ32" s="525">
        <f>SUM(AQ11:AT30)</f>
        <v>0</v>
      </c>
      <c r="AR32" s="526"/>
      <c r="AS32" s="526"/>
      <c r="AT32" s="527"/>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61" t="s">
        <v>433</v>
      </c>
      <c r="G35" s="485"/>
      <c r="H35" s="485"/>
      <c r="I35" s="485"/>
      <c r="J35" s="485"/>
      <c r="K35" s="485"/>
      <c r="L35" s="485"/>
      <c r="M35" s="485"/>
      <c r="N35" s="485"/>
      <c r="O35" s="485"/>
      <c r="P35" s="485"/>
      <c r="Q35" s="485"/>
      <c r="R35" s="485"/>
      <c r="S35" s="485"/>
      <c r="T35" s="485"/>
      <c r="U35" s="485"/>
      <c r="V35" s="485"/>
      <c r="W35" s="485"/>
      <c r="X35" s="485"/>
      <c r="Y35" s="485"/>
      <c r="Z35" s="485"/>
      <c r="AA35" s="485"/>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676"/>
      <c r="G36" s="677"/>
      <c r="H36" s="677"/>
      <c r="I36" s="677"/>
      <c r="J36" s="677"/>
      <c r="K36" s="677"/>
      <c r="L36" s="677"/>
      <c r="M36" s="677"/>
      <c r="N36" s="677"/>
      <c r="O36" s="677"/>
      <c r="P36" s="677"/>
      <c r="Q36" s="677"/>
      <c r="R36" s="677"/>
      <c r="S36" s="677"/>
      <c r="T36" s="677"/>
      <c r="U36" s="677"/>
      <c r="V36" s="677"/>
      <c r="W36" s="677"/>
      <c r="X36" s="677"/>
      <c r="Y36" s="677"/>
      <c r="Z36" s="677"/>
      <c r="AA36" s="678"/>
      <c r="AB36" s="652"/>
      <c r="AC36" s="653"/>
      <c r="AD36" s="654"/>
      <c r="AE36" s="137"/>
      <c r="AF36" s="687">
        <f>IF(OR(AB36="",Calc!F55=1),0,(AB36*TuitionRemission_GradAssistants_Y1)/IF(Calc!F55&lt;=5,1,2))</f>
        <v>0</v>
      </c>
      <c r="AG36" s="688"/>
      <c r="AH36" s="669"/>
      <c r="AI36" s="668">
        <f>IF(OR(Calc!D55=1,Calc!E55=1,Calc!F55=1),0,Calc!H55*AB36)</f>
        <v>0</v>
      </c>
      <c r="AJ36" s="688"/>
      <c r="AK36" s="688"/>
      <c r="AL36" s="669"/>
      <c r="AM36" s="666">
        <f>IF(AB36&gt;0,FringeRate_Y1_GradStudent,0)</f>
        <v>0</v>
      </c>
      <c r="AN36" s="667"/>
      <c r="AO36" s="668">
        <f>AI36*AM36</f>
        <v>0</v>
      </c>
      <c r="AP36" s="669"/>
      <c r="AQ36" s="668">
        <f>AF36+AI36+AO36</f>
        <v>0</v>
      </c>
      <c r="AR36" s="688"/>
      <c r="AS36" s="688"/>
      <c r="AT36" s="690"/>
      <c r="AU36" s="137"/>
      <c r="AV36" s="10"/>
    </row>
    <row r="37" spans="2:48" ht="20.100000000000001" customHeight="1" x14ac:dyDescent="0.2">
      <c r="B37" s="10"/>
      <c r="C37" s="137"/>
      <c r="D37" s="137"/>
      <c r="E37" s="342" t="s">
        <v>92</v>
      </c>
      <c r="F37" s="679"/>
      <c r="G37" s="680"/>
      <c r="H37" s="680"/>
      <c r="I37" s="680"/>
      <c r="J37" s="680"/>
      <c r="K37" s="680"/>
      <c r="L37" s="680"/>
      <c r="M37" s="680"/>
      <c r="N37" s="680"/>
      <c r="O37" s="680"/>
      <c r="P37" s="680"/>
      <c r="Q37" s="680"/>
      <c r="R37" s="680"/>
      <c r="S37" s="680"/>
      <c r="T37" s="680"/>
      <c r="U37" s="680"/>
      <c r="V37" s="680"/>
      <c r="W37" s="680"/>
      <c r="X37" s="680"/>
      <c r="Y37" s="680"/>
      <c r="Z37" s="680"/>
      <c r="AA37" s="681"/>
      <c r="AB37" s="655"/>
      <c r="AC37" s="656"/>
      <c r="AD37" s="657"/>
      <c r="AE37" s="137"/>
      <c r="AF37" s="642">
        <f>IF(OR(AB37="",Calc!F56=1),0,(AB37*TuitionRemission_GradAssistants_Y1)/IF(Calc!F56&lt;=5,1,2))</f>
        <v>0</v>
      </c>
      <c r="AG37" s="643"/>
      <c r="AH37" s="644"/>
      <c r="AI37" s="662">
        <f>IF(OR(Calc!D56=1,Calc!E56=1,Calc!F56=1),0,Calc!H56*AB37)</f>
        <v>0</v>
      </c>
      <c r="AJ37" s="643"/>
      <c r="AK37" s="643"/>
      <c r="AL37" s="644"/>
      <c r="AM37" s="645">
        <f>IF(AB37&gt;0,FringeRate_Y1_GradStudent,0)</f>
        <v>0</v>
      </c>
      <c r="AN37" s="646"/>
      <c r="AO37" s="662">
        <f>AI37*AM37</f>
        <v>0</v>
      </c>
      <c r="AP37" s="644"/>
      <c r="AQ37" s="662">
        <f>AF37+AI37+AO37</f>
        <v>0</v>
      </c>
      <c r="AR37" s="643"/>
      <c r="AS37" s="643"/>
      <c r="AT37" s="663"/>
      <c r="AU37" s="137"/>
      <c r="AV37" s="10"/>
    </row>
    <row r="38" spans="2:48" ht="20.100000000000001" customHeight="1" x14ac:dyDescent="0.2">
      <c r="B38" s="10"/>
      <c r="C38" s="137"/>
      <c r="D38" s="137"/>
      <c r="E38" s="342" t="s">
        <v>93</v>
      </c>
      <c r="F38" s="679"/>
      <c r="G38" s="680"/>
      <c r="H38" s="680"/>
      <c r="I38" s="680"/>
      <c r="J38" s="680"/>
      <c r="K38" s="680"/>
      <c r="L38" s="680"/>
      <c r="M38" s="680"/>
      <c r="N38" s="680"/>
      <c r="O38" s="680"/>
      <c r="P38" s="680"/>
      <c r="Q38" s="680"/>
      <c r="R38" s="680"/>
      <c r="S38" s="680"/>
      <c r="T38" s="680"/>
      <c r="U38" s="680"/>
      <c r="V38" s="680"/>
      <c r="W38" s="680"/>
      <c r="X38" s="680"/>
      <c r="Y38" s="680"/>
      <c r="Z38" s="680"/>
      <c r="AA38" s="681"/>
      <c r="AB38" s="658"/>
      <c r="AC38" s="659"/>
      <c r="AD38" s="660"/>
      <c r="AE38" s="137"/>
      <c r="AF38" s="642">
        <f>IF(OR(AB38="",Calc!F57=1),0,(AB38*TuitionRemission_GradAssistants_Y1)/IF(Calc!F57&lt;=5,1,2))</f>
        <v>0</v>
      </c>
      <c r="AG38" s="643"/>
      <c r="AH38" s="644"/>
      <c r="AI38" s="662">
        <f>IF(OR(Calc!D57=1,Calc!E57=1,Calc!F57=1),0,Calc!H57*AB38)</f>
        <v>0</v>
      </c>
      <c r="AJ38" s="643"/>
      <c r="AK38" s="643"/>
      <c r="AL38" s="644"/>
      <c r="AM38" s="645">
        <f>IF(AB38&gt;0,FringeRate_Y1_GradStudent,0)</f>
        <v>0</v>
      </c>
      <c r="AN38" s="646"/>
      <c r="AO38" s="662">
        <f>AM38*AI38</f>
        <v>0</v>
      </c>
      <c r="AP38" s="644"/>
      <c r="AQ38" s="662">
        <f>AF38+AI38+AO38</f>
        <v>0</v>
      </c>
      <c r="AR38" s="643"/>
      <c r="AS38" s="643"/>
      <c r="AT38" s="663"/>
      <c r="AU38" s="137"/>
      <c r="AV38" s="10"/>
    </row>
    <row r="39" spans="2:48" ht="20.100000000000001" customHeight="1" x14ac:dyDescent="0.2">
      <c r="B39" s="10"/>
      <c r="C39" s="137"/>
      <c r="D39" s="137"/>
      <c r="E39" s="342" t="s">
        <v>94</v>
      </c>
      <c r="F39" s="679"/>
      <c r="G39" s="680"/>
      <c r="H39" s="680"/>
      <c r="I39" s="680"/>
      <c r="J39" s="680"/>
      <c r="K39" s="680"/>
      <c r="L39" s="680"/>
      <c r="M39" s="680"/>
      <c r="N39" s="680"/>
      <c r="O39" s="680"/>
      <c r="P39" s="680"/>
      <c r="Q39" s="680"/>
      <c r="R39" s="680"/>
      <c r="S39" s="680"/>
      <c r="T39" s="680"/>
      <c r="U39" s="680"/>
      <c r="V39" s="680"/>
      <c r="W39" s="680"/>
      <c r="X39" s="680"/>
      <c r="Y39" s="680"/>
      <c r="Z39" s="680"/>
      <c r="AA39" s="681"/>
      <c r="AB39" s="658"/>
      <c r="AC39" s="659"/>
      <c r="AD39" s="660"/>
      <c r="AE39" s="137"/>
      <c r="AF39" s="642">
        <f>IF(OR(AB39="",Calc!F58=1),0,(AB39*TuitionRemission_GradAssistants_Y1)/IF(Calc!F58&lt;=5,1,2))</f>
        <v>0</v>
      </c>
      <c r="AG39" s="643"/>
      <c r="AH39" s="644"/>
      <c r="AI39" s="662">
        <f>IF(OR(Calc!D58=1,Calc!E58=1,Calc!F58=1),0,Calc!H58*AB39)</f>
        <v>0</v>
      </c>
      <c r="AJ39" s="643"/>
      <c r="AK39" s="643"/>
      <c r="AL39" s="644"/>
      <c r="AM39" s="645">
        <f>IF(AB39&gt;0,FringeRate_Y1_GradStudent,0)</f>
        <v>0</v>
      </c>
      <c r="AN39" s="646"/>
      <c r="AO39" s="662">
        <f>AM39*AI39</f>
        <v>0</v>
      </c>
      <c r="AP39" s="644"/>
      <c r="AQ39" s="662">
        <f>AF39+AI39+AO39</f>
        <v>0</v>
      </c>
      <c r="AR39" s="643"/>
      <c r="AS39" s="643"/>
      <c r="AT39" s="663"/>
      <c r="AU39" s="137"/>
      <c r="AV39" s="10"/>
    </row>
    <row r="40" spans="2:48" ht="20.100000000000001" customHeight="1" thickBot="1" x14ac:dyDescent="0.25">
      <c r="B40" s="10"/>
      <c r="C40" s="137"/>
      <c r="D40" s="137"/>
      <c r="E40" s="342" t="s">
        <v>95</v>
      </c>
      <c r="F40" s="683"/>
      <c r="G40" s="684"/>
      <c r="H40" s="684"/>
      <c r="I40" s="684"/>
      <c r="J40" s="684"/>
      <c r="K40" s="684"/>
      <c r="L40" s="684"/>
      <c r="M40" s="684"/>
      <c r="N40" s="684"/>
      <c r="O40" s="684"/>
      <c r="P40" s="684"/>
      <c r="Q40" s="684"/>
      <c r="R40" s="684"/>
      <c r="S40" s="684"/>
      <c r="T40" s="684"/>
      <c r="U40" s="684"/>
      <c r="V40" s="684"/>
      <c r="W40" s="684"/>
      <c r="X40" s="684"/>
      <c r="Y40" s="684"/>
      <c r="Z40" s="684"/>
      <c r="AA40" s="685"/>
      <c r="AB40" s="502"/>
      <c r="AC40" s="503"/>
      <c r="AD40" s="504"/>
      <c r="AE40" s="137"/>
      <c r="AF40" s="689">
        <f>IF(OR(AB40="",Calc!F59=1),0,(AB40*TuitionRemission_GradAssistants_Y1)/IF(Calc!F59&lt;=5,1,2))</f>
        <v>0</v>
      </c>
      <c r="AG40" s="482"/>
      <c r="AH40" s="483"/>
      <c r="AI40" s="481">
        <f>IF(OR(Calc!D59=1,Calc!E59=1,Calc!F59=1),0,Calc!H59*AB40)</f>
        <v>0</v>
      </c>
      <c r="AJ40" s="482"/>
      <c r="AK40" s="482"/>
      <c r="AL40" s="483"/>
      <c r="AM40" s="691">
        <f>IF(AB40&gt;0,FringeRate_Y1_GradStudent,0)</f>
        <v>0</v>
      </c>
      <c r="AN40" s="692"/>
      <c r="AO40" s="481">
        <f>AM40*AI40</f>
        <v>0</v>
      </c>
      <c r="AP40" s="483"/>
      <c r="AQ40" s="481">
        <f>AF40+AI40+AO40</f>
        <v>0</v>
      </c>
      <c r="AR40" s="482"/>
      <c r="AS40" s="482"/>
      <c r="AT40" s="686"/>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341"/>
      <c r="AE42" s="341"/>
      <c r="AF42" s="595">
        <f>SUM(AF36:AH40)</f>
        <v>0</v>
      </c>
      <c r="AG42" s="595"/>
      <c r="AH42" s="595"/>
      <c r="AI42" s="528">
        <f>SUM(AI36:AL40)</f>
        <v>0</v>
      </c>
      <c r="AJ42" s="528"/>
      <c r="AK42" s="528"/>
      <c r="AL42" s="528"/>
      <c r="AM42" s="529"/>
      <c r="AN42" s="529"/>
      <c r="AO42" s="592">
        <f>SUM(AO36:AP40)</f>
        <v>0</v>
      </c>
      <c r="AP42" s="593"/>
      <c r="AQ42" s="594">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511">
        <f>U46/Var_PersonHoursPerMonth</f>
        <v>0</v>
      </c>
      <c r="AH46" s="512"/>
      <c r="AI46" s="520">
        <f>R46*U46</f>
        <v>0</v>
      </c>
      <c r="AJ46" s="521"/>
      <c r="AK46" s="521"/>
      <c r="AL46" s="521"/>
      <c r="AM46" s="584">
        <f>FringeRate_Y1_Student</f>
        <v>2.4E-2</v>
      </c>
      <c r="AN46" s="584"/>
      <c r="AO46" s="521">
        <f>AI46*AM46</f>
        <v>0</v>
      </c>
      <c r="AP46" s="521"/>
      <c r="AQ46" s="521">
        <f>AI46+AO46</f>
        <v>0</v>
      </c>
      <c r="AR46" s="521"/>
      <c r="AS46" s="521"/>
      <c r="AT46" s="524"/>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477"/>
      <c r="V47" s="477"/>
      <c r="W47" s="478"/>
      <c r="X47" s="137"/>
      <c r="Y47" s="137"/>
      <c r="Z47" s="137"/>
      <c r="AA47" s="137"/>
      <c r="AB47" s="137"/>
      <c r="AC47" s="137"/>
      <c r="AD47" s="137"/>
      <c r="AE47" s="137"/>
      <c r="AF47" s="137"/>
      <c r="AG47" s="513">
        <f>U47/Var_PersonHoursPerMonth</f>
        <v>0</v>
      </c>
      <c r="AH47" s="514"/>
      <c r="AI47" s="522">
        <f>R47*U47</f>
        <v>0</v>
      </c>
      <c r="AJ47" s="515"/>
      <c r="AK47" s="515"/>
      <c r="AL47" s="515"/>
      <c r="AM47" s="523">
        <f>FringeRate_Y1_Student</f>
        <v>2.4E-2</v>
      </c>
      <c r="AN47" s="523"/>
      <c r="AO47" s="515">
        <f>AI47*AM47</f>
        <v>0</v>
      </c>
      <c r="AP47" s="515"/>
      <c r="AQ47" s="515">
        <f>AI47+AO47</f>
        <v>0</v>
      </c>
      <c r="AR47" s="515"/>
      <c r="AS47" s="515"/>
      <c r="AT47" s="516"/>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477"/>
      <c r="V48" s="477"/>
      <c r="W48" s="478"/>
      <c r="X48" s="137"/>
      <c r="Y48" s="137"/>
      <c r="Z48" s="137"/>
      <c r="AA48" s="137"/>
      <c r="AB48" s="137"/>
      <c r="AC48" s="137"/>
      <c r="AD48" s="137"/>
      <c r="AE48" s="137"/>
      <c r="AF48" s="137"/>
      <c r="AG48" s="513">
        <f>U48/Var_PersonHoursPerMonth</f>
        <v>0</v>
      </c>
      <c r="AH48" s="514"/>
      <c r="AI48" s="522">
        <f>R48*U48</f>
        <v>0</v>
      </c>
      <c r="AJ48" s="515"/>
      <c r="AK48" s="515"/>
      <c r="AL48" s="515"/>
      <c r="AM48" s="523">
        <f>FringeRate_Y1_Student</f>
        <v>2.4E-2</v>
      </c>
      <c r="AN48" s="523"/>
      <c r="AO48" s="515">
        <f>AI48*AM48</f>
        <v>0</v>
      </c>
      <c r="AP48" s="515"/>
      <c r="AQ48" s="515">
        <f>AI48+AO48</f>
        <v>0</v>
      </c>
      <c r="AR48" s="515"/>
      <c r="AS48" s="515"/>
      <c r="AT48" s="516"/>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477"/>
      <c r="V49" s="477"/>
      <c r="W49" s="478"/>
      <c r="X49" s="137"/>
      <c r="Y49" s="137"/>
      <c r="Z49" s="137"/>
      <c r="AA49" s="137"/>
      <c r="AB49" s="137"/>
      <c r="AC49" s="137"/>
      <c r="AD49" s="137"/>
      <c r="AE49" s="137"/>
      <c r="AF49" s="137"/>
      <c r="AG49" s="513">
        <f>U49/Var_PersonHoursPerMonth</f>
        <v>0</v>
      </c>
      <c r="AH49" s="514"/>
      <c r="AI49" s="522">
        <f>R49*U49</f>
        <v>0</v>
      </c>
      <c r="AJ49" s="515"/>
      <c r="AK49" s="515"/>
      <c r="AL49" s="515"/>
      <c r="AM49" s="523">
        <f>FringeRate_Y1_Student</f>
        <v>2.4E-2</v>
      </c>
      <c r="AN49" s="523"/>
      <c r="AO49" s="515">
        <f>AI49*AM49</f>
        <v>0</v>
      </c>
      <c r="AP49" s="515"/>
      <c r="AQ49" s="515">
        <f>AI49+AO49</f>
        <v>0</v>
      </c>
      <c r="AR49" s="515"/>
      <c r="AS49" s="515"/>
      <c r="AT49" s="516"/>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88"/>
      <c r="V50" s="588"/>
      <c r="W50" s="589"/>
      <c r="X50" s="137"/>
      <c r="Y50" s="137"/>
      <c r="Z50" s="137"/>
      <c r="AA50" s="137"/>
      <c r="AB50" s="137"/>
      <c r="AC50" s="137"/>
      <c r="AD50" s="137"/>
      <c r="AE50" s="137"/>
      <c r="AF50" s="137"/>
      <c r="AG50" s="582">
        <f>U50/Var_PersonHoursPerMonth</f>
        <v>0</v>
      </c>
      <c r="AH50" s="583"/>
      <c r="AI50" s="591">
        <f>R50*U50</f>
        <v>0</v>
      </c>
      <c r="AJ50" s="575"/>
      <c r="AK50" s="575"/>
      <c r="AL50" s="575"/>
      <c r="AM50" s="581">
        <f>FringeRate_Y1_Student</f>
        <v>2.4E-2</v>
      </c>
      <c r="AN50" s="581"/>
      <c r="AO50" s="575">
        <f>AI50*AM50</f>
        <v>0</v>
      </c>
      <c r="AP50" s="575"/>
      <c r="AQ50" s="575">
        <f>AI50+AO50</f>
        <v>0</v>
      </c>
      <c r="AR50" s="575"/>
      <c r="AS50" s="575"/>
      <c r="AT50" s="57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577">
        <f>SUM(AI46:AL50)</f>
        <v>0</v>
      </c>
      <c r="AJ52" s="577"/>
      <c r="AK52" s="577"/>
      <c r="AL52" s="577"/>
      <c r="AM52" s="529"/>
      <c r="AN52" s="529"/>
      <c r="AO52" s="577">
        <f>SUM(AO46:AP50)</f>
        <v>0</v>
      </c>
      <c r="AP52" s="577"/>
      <c r="AQ52" s="577">
        <f>SUM(AQ46:AT50)</f>
        <v>0</v>
      </c>
      <c r="AR52" s="577"/>
      <c r="AS52" s="577"/>
      <c r="AT52" s="577"/>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537">
        <f>SUM(AK56:AN65)</f>
        <v>0</v>
      </c>
      <c r="AQ66" s="538"/>
      <c r="AR66" s="538"/>
      <c r="AS66" s="538"/>
      <c r="AT66" s="539"/>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58"/>
      <c r="AL79" s="458"/>
      <c r="AM79" s="458"/>
      <c r="AN79" s="459"/>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58"/>
      <c r="AL80" s="458"/>
      <c r="AM80" s="458"/>
      <c r="AN80" s="459"/>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58"/>
      <c r="AL81" s="458"/>
      <c r="AM81" s="458"/>
      <c r="AN81" s="459"/>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58"/>
      <c r="AL82" s="458"/>
      <c r="AM82" s="458"/>
      <c r="AN82" s="459"/>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58"/>
      <c r="AL83" s="458"/>
      <c r="AM83" s="458"/>
      <c r="AN83" s="459"/>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58"/>
      <c r="AL84" s="458"/>
      <c r="AM84" s="458"/>
      <c r="AN84" s="459"/>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62"/>
      <c r="AL85" s="462"/>
      <c r="AM85" s="462"/>
      <c r="AN85" s="463"/>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537">
        <f>SUM(AK69:AN76)</f>
        <v>0</v>
      </c>
      <c r="AQ86" s="538"/>
      <c r="AR86" s="538"/>
      <c r="AS86" s="538"/>
      <c r="AT86" s="539"/>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537">
        <f>SUM(AK78:AN85)</f>
        <v>0</v>
      </c>
      <c r="AQ87" s="538"/>
      <c r="AR87" s="538"/>
      <c r="AS87" s="538"/>
      <c r="AT87" s="539"/>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537">
        <f>SUM(AK90:AN99)</f>
        <v>0</v>
      </c>
      <c r="AQ100" s="538"/>
      <c r="AR100" s="538"/>
      <c r="AS100" s="538"/>
      <c r="AT100" s="539"/>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thickBot="1" x14ac:dyDescent="0.25">
      <c r="B102" s="10"/>
      <c r="C102" s="137"/>
      <c r="D102" s="137"/>
      <c r="E102" s="137"/>
      <c r="F102" s="510" t="s">
        <v>169</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464"/>
      <c r="G103" s="465"/>
      <c r="H103" s="465"/>
      <c r="I103" s="465"/>
      <c r="J103" s="465"/>
      <c r="K103" s="465"/>
      <c r="L103" s="465"/>
      <c r="M103" s="465"/>
      <c r="N103" s="465"/>
      <c r="O103" s="465"/>
      <c r="P103" s="465"/>
      <c r="Q103" s="465"/>
      <c r="R103" s="465"/>
      <c r="S103" s="465"/>
      <c r="T103" s="465"/>
      <c r="U103" s="465"/>
      <c r="V103" s="465"/>
      <c r="W103" s="465"/>
      <c r="X103" s="465"/>
      <c r="Y103" s="465"/>
      <c r="Z103" s="465"/>
      <c r="AA103" s="465"/>
      <c r="AB103" s="465"/>
      <c r="AC103" s="465"/>
      <c r="AD103" s="465"/>
      <c r="AE103" s="465"/>
      <c r="AF103" s="465"/>
      <c r="AG103" s="465"/>
      <c r="AH103" s="465"/>
      <c r="AI103" s="465"/>
      <c r="AJ103" s="466"/>
      <c r="AK103" s="487"/>
      <c r="AL103" s="487"/>
      <c r="AM103" s="487"/>
      <c r="AN103" s="488"/>
      <c r="AO103" s="137"/>
      <c r="AP103" s="137"/>
      <c r="AQ103" s="137"/>
      <c r="AR103" s="137"/>
      <c r="AS103" s="137"/>
      <c r="AT103" s="137"/>
      <c r="AU103" s="137"/>
      <c r="AV103" s="10"/>
    </row>
    <row r="104" spans="2:48" x14ac:dyDescent="0.2">
      <c r="B104" s="10"/>
      <c r="C104" s="137"/>
      <c r="D104" s="137"/>
      <c r="E104" s="149" t="s">
        <v>92</v>
      </c>
      <c r="F104" s="470"/>
      <c r="G104" s="471"/>
      <c r="H104" s="471"/>
      <c r="I104" s="471"/>
      <c r="J104" s="471"/>
      <c r="K104" s="471"/>
      <c r="L104" s="471"/>
      <c r="M104" s="471"/>
      <c r="N104" s="471"/>
      <c r="O104" s="471"/>
      <c r="P104" s="471"/>
      <c r="Q104" s="471"/>
      <c r="R104" s="471"/>
      <c r="S104" s="471"/>
      <c r="T104" s="471"/>
      <c r="U104" s="471"/>
      <c r="V104" s="471"/>
      <c r="W104" s="471"/>
      <c r="X104" s="471"/>
      <c r="Y104" s="471"/>
      <c r="Z104" s="471"/>
      <c r="AA104" s="471"/>
      <c r="AB104" s="471"/>
      <c r="AC104" s="471"/>
      <c r="AD104" s="471"/>
      <c r="AE104" s="471"/>
      <c r="AF104" s="471"/>
      <c r="AG104" s="471"/>
      <c r="AH104" s="471"/>
      <c r="AI104" s="471"/>
      <c r="AJ104" s="460"/>
      <c r="AK104" s="458"/>
      <c r="AL104" s="458"/>
      <c r="AM104" s="458"/>
      <c r="AN104" s="459"/>
      <c r="AO104" s="137"/>
      <c r="AP104" s="137"/>
      <c r="AQ104" s="137"/>
      <c r="AR104" s="137"/>
      <c r="AS104" s="137"/>
      <c r="AT104" s="137"/>
      <c r="AU104" s="137"/>
      <c r="AV104" s="10"/>
    </row>
    <row r="105" spans="2:48" x14ac:dyDescent="0.2">
      <c r="B105" s="10"/>
      <c r="C105" s="137"/>
      <c r="D105" s="137"/>
      <c r="E105" s="149" t="s">
        <v>93</v>
      </c>
      <c r="F105" s="470"/>
      <c r="G105" s="471"/>
      <c r="H105" s="471"/>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60"/>
      <c r="AK105" s="458"/>
      <c r="AL105" s="458"/>
      <c r="AM105" s="458"/>
      <c r="AN105" s="459"/>
      <c r="AO105" s="137"/>
      <c r="AP105" s="137"/>
      <c r="AQ105" s="137"/>
      <c r="AR105" s="137"/>
      <c r="AS105" s="137"/>
      <c r="AT105" s="137"/>
      <c r="AU105" s="137"/>
      <c r="AV105" s="10"/>
    </row>
    <row r="106" spans="2:48" x14ac:dyDescent="0.2">
      <c r="B106" s="10"/>
      <c r="C106" s="137"/>
      <c r="D106" s="137"/>
      <c r="E106" s="149" t="s">
        <v>94</v>
      </c>
      <c r="F106" s="470"/>
      <c r="G106" s="471"/>
      <c r="H106" s="471"/>
      <c r="I106" s="471"/>
      <c r="J106" s="471"/>
      <c r="K106" s="471"/>
      <c r="L106" s="471"/>
      <c r="M106" s="471"/>
      <c r="N106" s="471"/>
      <c r="O106" s="471"/>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60"/>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467"/>
      <c r="G107" s="468"/>
      <c r="H107" s="468"/>
      <c r="I107" s="468"/>
      <c r="J107" s="468"/>
      <c r="K107" s="468"/>
      <c r="L107" s="468"/>
      <c r="M107" s="468"/>
      <c r="N107" s="468"/>
      <c r="O107" s="468"/>
      <c r="P107" s="468"/>
      <c r="Q107" s="468"/>
      <c r="R107" s="468"/>
      <c r="S107" s="468"/>
      <c r="T107" s="468"/>
      <c r="U107" s="468"/>
      <c r="V107" s="468"/>
      <c r="W107" s="468"/>
      <c r="X107" s="468"/>
      <c r="Y107" s="468"/>
      <c r="Z107" s="468"/>
      <c r="AA107" s="468"/>
      <c r="AB107" s="468"/>
      <c r="AC107" s="468"/>
      <c r="AD107" s="468"/>
      <c r="AE107" s="468"/>
      <c r="AF107" s="468"/>
      <c r="AG107" s="468"/>
      <c r="AH107" s="468"/>
      <c r="AI107" s="468"/>
      <c r="AJ107" s="469"/>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64"/>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6"/>
      <c r="AK109" s="487"/>
      <c r="AL109" s="487"/>
      <c r="AM109" s="487"/>
      <c r="AN109" s="488"/>
      <c r="AO109" s="137"/>
      <c r="AP109" s="137"/>
      <c r="AQ109" s="137"/>
      <c r="AR109" s="137"/>
      <c r="AS109" s="137"/>
      <c r="AT109" s="137"/>
      <c r="AU109" s="137"/>
      <c r="AV109" s="10"/>
    </row>
    <row r="110" spans="2:48" x14ac:dyDescent="0.2">
      <c r="B110" s="10"/>
      <c r="C110" s="137"/>
      <c r="D110" s="137"/>
      <c r="E110" s="149" t="s">
        <v>92</v>
      </c>
      <c r="F110" s="470"/>
      <c r="G110" s="471"/>
      <c r="H110" s="471"/>
      <c r="I110" s="471"/>
      <c r="J110" s="471"/>
      <c r="K110" s="471"/>
      <c r="L110" s="471"/>
      <c r="M110" s="471"/>
      <c r="N110" s="471"/>
      <c r="O110" s="471"/>
      <c r="P110" s="471"/>
      <c r="Q110" s="471"/>
      <c r="R110" s="471"/>
      <c r="S110" s="471"/>
      <c r="T110" s="471"/>
      <c r="U110" s="471"/>
      <c r="V110" s="471"/>
      <c r="W110" s="471"/>
      <c r="X110" s="471"/>
      <c r="Y110" s="471"/>
      <c r="Z110" s="471"/>
      <c r="AA110" s="471"/>
      <c r="AB110" s="471"/>
      <c r="AC110" s="471"/>
      <c r="AD110" s="471"/>
      <c r="AE110" s="471"/>
      <c r="AF110" s="471"/>
      <c r="AG110" s="471"/>
      <c r="AH110" s="471"/>
      <c r="AI110" s="471"/>
      <c r="AJ110" s="460"/>
      <c r="AK110" s="458"/>
      <c r="AL110" s="458"/>
      <c r="AM110" s="458"/>
      <c r="AN110" s="459"/>
      <c r="AO110" s="137"/>
      <c r="AP110" s="137"/>
      <c r="AQ110" s="137"/>
      <c r="AR110" s="137"/>
      <c r="AS110" s="137"/>
      <c r="AT110" s="137"/>
      <c r="AU110" s="137"/>
      <c r="AV110" s="10"/>
    </row>
    <row r="111" spans="2:48" x14ac:dyDescent="0.2">
      <c r="B111" s="10"/>
      <c r="C111" s="137"/>
      <c r="D111" s="137"/>
      <c r="E111" s="149" t="s">
        <v>93</v>
      </c>
      <c r="F111" s="470"/>
      <c r="G111" s="471"/>
      <c r="H111" s="471"/>
      <c r="I111" s="471"/>
      <c r="J111" s="471"/>
      <c r="K111" s="471"/>
      <c r="L111" s="471"/>
      <c r="M111" s="471"/>
      <c r="N111" s="471"/>
      <c r="O111" s="471"/>
      <c r="P111" s="471"/>
      <c r="Q111" s="471"/>
      <c r="R111" s="471"/>
      <c r="S111" s="471"/>
      <c r="T111" s="471"/>
      <c r="U111" s="471"/>
      <c r="V111" s="471"/>
      <c r="W111" s="471"/>
      <c r="X111" s="471"/>
      <c r="Y111" s="471"/>
      <c r="Z111" s="471"/>
      <c r="AA111" s="471"/>
      <c r="AB111" s="471"/>
      <c r="AC111" s="471"/>
      <c r="AD111" s="471"/>
      <c r="AE111" s="471"/>
      <c r="AF111" s="471"/>
      <c r="AG111" s="471"/>
      <c r="AH111" s="471"/>
      <c r="AI111" s="471"/>
      <c r="AJ111" s="460"/>
      <c r="AK111" s="458"/>
      <c r="AL111" s="458"/>
      <c r="AM111" s="458"/>
      <c r="AN111" s="459"/>
      <c r="AO111" s="137"/>
      <c r="AP111" s="137"/>
      <c r="AQ111" s="137"/>
      <c r="AR111" s="137"/>
      <c r="AS111" s="137"/>
      <c r="AT111" s="137"/>
      <c r="AU111" s="137"/>
      <c r="AV111" s="10"/>
    </row>
    <row r="112" spans="2:48" x14ac:dyDescent="0.2">
      <c r="B112" s="10"/>
      <c r="C112" s="137"/>
      <c r="D112" s="137"/>
      <c r="E112" s="149" t="s">
        <v>94</v>
      </c>
      <c r="F112" s="470"/>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1"/>
      <c r="AI112" s="471"/>
      <c r="AJ112" s="460"/>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467"/>
      <c r="G113" s="468"/>
      <c r="H113" s="468"/>
      <c r="I113" s="468"/>
      <c r="J113" s="468"/>
      <c r="K113" s="468"/>
      <c r="L113" s="468"/>
      <c r="M113" s="468"/>
      <c r="N113" s="468"/>
      <c r="O113" s="468"/>
      <c r="P113" s="468"/>
      <c r="Q113" s="468"/>
      <c r="R113" s="468"/>
      <c r="S113" s="468"/>
      <c r="T113" s="468"/>
      <c r="U113" s="468"/>
      <c r="V113" s="468"/>
      <c r="W113" s="468"/>
      <c r="X113" s="468"/>
      <c r="Y113" s="468"/>
      <c r="Z113" s="468"/>
      <c r="AA113" s="468"/>
      <c r="AB113" s="468"/>
      <c r="AC113" s="468"/>
      <c r="AD113" s="468"/>
      <c r="AE113" s="468"/>
      <c r="AF113" s="468"/>
      <c r="AG113" s="468"/>
      <c r="AH113" s="468"/>
      <c r="AI113" s="468"/>
      <c r="AJ113" s="469"/>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537">
        <f>SUM(AK103:AN107,AK109:AN113)</f>
        <v>0</v>
      </c>
      <c r="AQ114" s="538"/>
      <c r="AR114" s="538"/>
      <c r="AS114" s="538"/>
      <c r="AT114" s="539"/>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466"/>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0"/>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0"/>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0"/>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0"/>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0"/>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0"/>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0"/>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49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0">
        <f>Result_Tuition_Y1</f>
        <v>0</v>
      </c>
      <c r="AL125" s="540"/>
      <c r="AM125" s="540"/>
      <c r="AN125" s="541"/>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0"/>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0"/>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460"/>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537">
        <f>SUM(AK117:AN129)</f>
        <v>0</v>
      </c>
      <c r="AQ130" s="538"/>
      <c r="AR130" s="538"/>
      <c r="AS130" s="538"/>
      <c r="AT130" s="539"/>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543">
        <f>SUM(AI32,AI42,AI52)</f>
        <v>0</v>
      </c>
      <c r="P134" s="544"/>
      <c r="Q134" s="544"/>
      <c r="R134" s="545"/>
      <c r="S134" s="137"/>
      <c r="T134" s="543">
        <f>SUM(AO32,AO42,AO52)</f>
        <v>0</v>
      </c>
      <c r="U134" s="544"/>
      <c r="V134" s="544"/>
      <c r="W134" s="545"/>
      <c r="X134" s="137"/>
      <c r="Y134" s="137"/>
      <c r="Z134" s="137"/>
      <c r="AA134" s="137"/>
      <c r="AB134" s="137"/>
      <c r="AC134" s="137"/>
      <c r="AD134" s="137"/>
      <c r="AE134" s="137"/>
      <c r="AF134" s="137"/>
      <c r="AG134" s="137"/>
      <c r="AH134" s="137"/>
      <c r="AI134" s="137"/>
      <c r="AJ134" s="137"/>
      <c r="AK134" s="137"/>
      <c r="AL134" s="137"/>
      <c r="AM134" s="137"/>
      <c r="AN134" s="137"/>
      <c r="AO134" s="137"/>
      <c r="AP134" s="537">
        <f>SUM(O134,T134)</f>
        <v>0</v>
      </c>
      <c r="AQ134" s="538"/>
      <c r="AR134" s="538"/>
      <c r="AS134" s="538"/>
      <c r="AT134" s="539"/>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569">
        <f>Result_EquipmentCost_Y1</f>
        <v>0</v>
      </c>
      <c r="P137" s="570"/>
      <c r="Q137" s="570"/>
      <c r="R137" s="571"/>
      <c r="S137" s="137"/>
      <c r="T137" s="569">
        <f>SUM(Result_TravelDomestic_Y1,Result_TravelForeign_Y1)</f>
        <v>0</v>
      </c>
      <c r="U137" s="570"/>
      <c r="V137" s="570"/>
      <c r="W137" s="571"/>
      <c r="X137" s="137"/>
      <c r="Y137" s="569">
        <f>Result_ParticipantCosts_Y1</f>
        <v>0</v>
      </c>
      <c r="Z137" s="570"/>
      <c r="AA137" s="570"/>
      <c r="AB137" s="571"/>
      <c r="AC137" s="137"/>
      <c r="AD137" s="569">
        <f>Result_SubawardCosts_Y1</f>
        <v>0</v>
      </c>
      <c r="AE137" s="570"/>
      <c r="AF137" s="570"/>
      <c r="AG137" s="571"/>
      <c r="AH137" s="137"/>
      <c r="AI137" s="569">
        <f>Result_OtherDirectCosts_Y1</f>
        <v>0</v>
      </c>
      <c r="AJ137" s="570"/>
      <c r="AK137" s="570"/>
      <c r="AL137" s="571"/>
      <c r="AM137" s="137"/>
      <c r="AN137" s="137"/>
      <c r="AO137" s="137"/>
      <c r="AP137" s="537">
        <f>SUM(O137,T137,Y137,AD137,AI137)</f>
        <v>0</v>
      </c>
      <c r="AQ137" s="538"/>
      <c r="AR137" s="538"/>
      <c r="AS137" s="538"/>
      <c r="AT137" s="539"/>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537">
        <f>SUM(Result_PersonnelCosts_Y1,Result_EquipmentCost_Y1,Result_TravelTotal_Y1,Result_ParticipantCosts_Y1,Result_SubawardCosts_Y1,Result_OtherDirectCosts_Y1)</f>
        <v>0</v>
      </c>
      <c r="AQ139" s="538"/>
      <c r="AR139" s="538"/>
      <c r="AS139" s="538"/>
      <c r="AT139" s="539"/>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572">
        <f>Result_TotalDirectCosts_Y1-Result_SubawardCosts_UW_Y1-IF(Data_Exclude_SalariesWages,Result_SalariesWages_Y1,0)-IF(Data_Exclude_Fringes,Result_FringeBenefits_Y1,0)-IF(Data_Exclude_Tuition,Result_TuitionTOTAL_Y1,0)-IF(Data_Exclude_Equipment,Result_EquipmentCost_Y1,0)-IF(Data_Exclude_Travel,Result_TravelTotal_Y1,0)-IF(Data_Exclude_ParticipantCosts,Result_ParticipantCosts_Y1,0)-IF(Data_Exclude_NonUWSubawards,Result_SubawardCosts_NonUW_Y1,IF(Data_Exclude_NonUWSubawardsExceeding25K,Result_SubawardCosts_NonUW_Y1-Result_SubawardBase_Y1_TOTAL,0))-IF(Data_Exclude_OtherCosts,Result_OtherDirectCosts_Y1-Result_TuitionTOTAL_Y1,0)</f>
        <v>0</v>
      </c>
      <c r="AQ140" s="572"/>
      <c r="AR140" s="572"/>
      <c r="AS140" s="137"/>
      <c r="AT140" s="137"/>
      <c r="AU140" s="137"/>
      <c r="AV140" s="10"/>
    </row>
    <row r="141" spans="2:48" x14ac:dyDescent="0.2">
      <c r="B141" s="10"/>
      <c r="C141" s="137"/>
      <c r="D141" s="137"/>
      <c r="E141" s="137"/>
      <c r="F141" s="137" t="s">
        <v>208</v>
      </c>
      <c r="G141" s="137"/>
      <c r="H141" s="137"/>
      <c r="I141" s="137"/>
      <c r="J141" s="137"/>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537">
        <f>CHOOSE('Drop-Down_Options'!E14,0,Result_TotalDirectCosts_Y1 - Result_SubawardCosts_UW_Y1, (Result_TotalDirectCosts_Y1-Result_EquipmentCost_Y1-Result_ParticipantCosts_Y1-Result_TuitionTOTAL_Y1-(Result_SubawardCosts_Y1-Result_SubawardBase_Y1_TOTAL)),AP140)</f>
        <v>0</v>
      </c>
      <c r="AQ141" s="538"/>
      <c r="AR141" s="538"/>
      <c r="AS141" s="538"/>
      <c r="AT141" s="539"/>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537">
        <f>AP141*FA_Rate_Y1</f>
        <v>0</v>
      </c>
      <c r="AQ143" s="538"/>
      <c r="AR143" s="538"/>
      <c r="AS143" s="538"/>
      <c r="AT143" s="539"/>
      <c r="AU143" s="137"/>
      <c r="AV143" s="10"/>
    </row>
    <row r="144" spans="2:48"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x14ac:dyDescent="0.2">
      <c r="B145" s="10"/>
      <c r="C145" s="137"/>
      <c r="D145" s="137"/>
      <c r="E145" s="137"/>
      <c r="F145" s="142" t="s">
        <v>163</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537">
        <f>SUM(Result_TotalDirectCosts_Y1,Result_IndirectCosts_Y1)</f>
        <v>0</v>
      </c>
      <c r="AQ145" s="538"/>
      <c r="AR145" s="538"/>
      <c r="AS145" s="538"/>
      <c r="AT145" s="539"/>
      <c r="AU145" s="137"/>
      <c r="AV145" s="10"/>
    </row>
    <row r="146" spans="2:48" ht="13.5"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P150" s="22"/>
    </row>
  </sheetData>
  <sheetProtection algorithmName="SHA-512" hashValue="bHzh22HmGmPdW2VXaTBtFgTna9NYwlqu1G6c7MqyYlIkkYN/LSXJWBfhiAmsM/6nw3AMl8KNTBPilfauvRmCgg==" saltValue="05f19fIwWikQQ15l9IXszA==" spinCount="100000" sheet="1" selectLockedCells="1"/>
  <mergeCells count="470">
    <mergeCell ref="F40:AA40"/>
    <mergeCell ref="AO40:AP40"/>
    <mergeCell ref="AQ40:AT40"/>
    <mergeCell ref="AF36:AH36"/>
    <mergeCell ref="AF37:AH37"/>
    <mergeCell ref="AF38:AH38"/>
    <mergeCell ref="AF40:AH40"/>
    <mergeCell ref="AI39:AL39"/>
    <mergeCell ref="AM39:AN39"/>
    <mergeCell ref="AO39:AP39"/>
    <mergeCell ref="AO37:AP37"/>
    <mergeCell ref="AQ36:AT36"/>
    <mergeCell ref="AI36:AL36"/>
    <mergeCell ref="AI37:AL37"/>
    <mergeCell ref="AM37:AN37"/>
    <mergeCell ref="AI38:AL38"/>
    <mergeCell ref="AM40:AN40"/>
    <mergeCell ref="AQ27:AT27"/>
    <mergeCell ref="F35:AA35"/>
    <mergeCell ref="AQ39:AT39"/>
    <mergeCell ref="AO29:AP29"/>
    <mergeCell ref="AO30:AP30"/>
    <mergeCell ref="AM35:AN35"/>
    <mergeCell ref="AD28:AF28"/>
    <mergeCell ref="AM29:AN29"/>
    <mergeCell ref="AI29:AL29"/>
    <mergeCell ref="AG28:AH28"/>
    <mergeCell ref="AQ37:AT37"/>
    <mergeCell ref="AO38:AP38"/>
    <mergeCell ref="AQ38:AT38"/>
    <mergeCell ref="AM36:AN36"/>
    <mergeCell ref="AO36:AP36"/>
    <mergeCell ref="AM30:AN30"/>
    <mergeCell ref="AQ30:AT30"/>
    <mergeCell ref="F29:K29"/>
    <mergeCell ref="F30:K30"/>
    <mergeCell ref="F36:AA36"/>
    <mergeCell ref="F37:AA37"/>
    <mergeCell ref="F38:AA38"/>
    <mergeCell ref="F39:AA39"/>
    <mergeCell ref="AF35:AH35"/>
    <mergeCell ref="AO27:AP27"/>
    <mergeCell ref="AG27:AH27"/>
    <mergeCell ref="AM26:AN26"/>
    <mergeCell ref="AM27:AN27"/>
    <mergeCell ref="AO28:AP28"/>
    <mergeCell ref="U29:X29"/>
    <mergeCell ref="U30:X30"/>
    <mergeCell ref="AF39:AH39"/>
    <mergeCell ref="AM38:AN38"/>
    <mergeCell ref="AD29:AF29"/>
    <mergeCell ref="AD30:AF30"/>
    <mergeCell ref="AI30:AL30"/>
    <mergeCell ref="AB35:AD35"/>
    <mergeCell ref="AB36:AD36"/>
    <mergeCell ref="AB37:AD37"/>
    <mergeCell ref="AB38:AD38"/>
    <mergeCell ref="AB39:AD39"/>
    <mergeCell ref="AI28:AL28"/>
    <mergeCell ref="AD19:AF19"/>
    <mergeCell ref="AD20:AF20"/>
    <mergeCell ref="AD21:AF21"/>
    <mergeCell ref="AD25:AF25"/>
    <mergeCell ref="AD26:AF26"/>
    <mergeCell ref="AI25:AL25"/>
    <mergeCell ref="AD27:AF27"/>
    <mergeCell ref="AD23:AF23"/>
    <mergeCell ref="AD22:AF22"/>
    <mergeCell ref="AI27:AL27"/>
    <mergeCell ref="AQ18:AT18"/>
    <mergeCell ref="AM20:AN20"/>
    <mergeCell ref="AM21:AN21"/>
    <mergeCell ref="AM22:AN22"/>
    <mergeCell ref="AI26:AL26"/>
    <mergeCell ref="AG19:AH19"/>
    <mergeCell ref="AM23:AN23"/>
    <mergeCell ref="AO23:AP23"/>
    <mergeCell ref="AO24:AP24"/>
    <mergeCell ref="AM24:AN24"/>
    <mergeCell ref="AO25:AP25"/>
    <mergeCell ref="AO26:AP26"/>
    <mergeCell ref="AO19:AP19"/>
    <mergeCell ref="AO20:AP20"/>
    <mergeCell ref="AO21:AP21"/>
    <mergeCell ref="AM15:AN15"/>
    <mergeCell ref="AM16:AN16"/>
    <mergeCell ref="AD14:AF14"/>
    <mergeCell ref="AD15:AF15"/>
    <mergeCell ref="AB13:AC13"/>
    <mergeCell ref="AD24:AF24"/>
    <mergeCell ref="AM13:AN13"/>
    <mergeCell ref="AM14:AN14"/>
    <mergeCell ref="AI13:AL13"/>
    <mergeCell ref="AI14:AL14"/>
    <mergeCell ref="AI15:AL15"/>
    <mergeCell ref="AD16:AF16"/>
    <mergeCell ref="AD17:AF17"/>
    <mergeCell ref="AM18:AN18"/>
    <mergeCell ref="AM19:AN19"/>
    <mergeCell ref="AI24:AL24"/>
    <mergeCell ref="AI17:AL17"/>
    <mergeCell ref="AI18:AL18"/>
    <mergeCell ref="AI19:AL19"/>
    <mergeCell ref="AI20:AL20"/>
    <mergeCell ref="AM17:AN17"/>
    <mergeCell ref="AI23:AL23"/>
    <mergeCell ref="AG17:AH17"/>
    <mergeCell ref="AB20:AC20"/>
    <mergeCell ref="AQ13:AT13"/>
    <mergeCell ref="AQ14:AT14"/>
    <mergeCell ref="AQ15:AT15"/>
    <mergeCell ref="AQ16:AT16"/>
    <mergeCell ref="AQ28:AT28"/>
    <mergeCell ref="AQ29:AT29"/>
    <mergeCell ref="AO11:AP11"/>
    <mergeCell ref="AO12:AP12"/>
    <mergeCell ref="AO13:AP13"/>
    <mergeCell ref="AO14:AP14"/>
    <mergeCell ref="AO15:AP15"/>
    <mergeCell ref="AO16:AP16"/>
    <mergeCell ref="AO22:AP22"/>
    <mergeCell ref="AQ26:AT26"/>
    <mergeCell ref="AO17:AP17"/>
    <mergeCell ref="AQ19:AT19"/>
    <mergeCell ref="AQ20:AT20"/>
    <mergeCell ref="AQ21:AT21"/>
    <mergeCell ref="AQ22:AT22"/>
    <mergeCell ref="AQ23:AT23"/>
    <mergeCell ref="AQ24:AT24"/>
    <mergeCell ref="AQ25:AT25"/>
    <mergeCell ref="AQ17:AT17"/>
    <mergeCell ref="AO18:AP18"/>
    <mergeCell ref="F24:K24"/>
    <mergeCell ref="F25:K25"/>
    <mergeCell ref="F26:K26"/>
    <mergeCell ref="F27:K27"/>
    <mergeCell ref="F28:K28"/>
    <mergeCell ref="U22:X22"/>
    <mergeCell ref="U23:X23"/>
    <mergeCell ref="U24:X24"/>
    <mergeCell ref="AB21:AC21"/>
    <mergeCell ref="AB22:AC22"/>
    <mergeCell ref="AB23:AC23"/>
    <mergeCell ref="AB24:AC24"/>
    <mergeCell ref="AB25:AC25"/>
    <mergeCell ref="AB26:AC26"/>
    <mergeCell ref="U25:X25"/>
    <mergeCell ref="U26:X26"/>
    <mergeCell ref="U27:X27"/>
    <mergeCell ref="U28:X28"/>
    <mergeCell ref="F23:K23"/>
    <mergeCell ref="U20:X20"/>
    <mergeCell ref="U21:X21"/>
    <mergeCell ref="F19:K19"/>
    <mergeCell ref="F20:K20"/>
    <mergeCell ref="F21:K21"/>
    <mergeCell ref="F22:K22"/>
    <mergeCell ref="F13:K13"/>
    <mergeCell ref="F14:K14"/>
    <mergeCell ref="F15:K15"/>
    <mergeCell ref="F16:K16"/>
    <mergeCell ref="F17:K17"/>
    <mergeCell ref="U13:X13"/>
    <mergeCell ref="U14:X14"/>
    <mergeCell ref="U15:X15"/>
    <mergeCell ref="U16:X16"/>
    <mergeCell ref="U17:X17"/>
    <mergeCell ref="U18:X18"/>
    <mergeCell ref="U19:X19"/>
    <mergeCell ref="AB14:AC14"/>
    <mergeCell ref="AG16:AH16"/>
    <mergeCell ref="F11:K11"/>
    <mergeCell ref="F18:K18"/>
    <mergeCell ref="AG11:AH11"/>
    <mergeCell ref="AG12:AH12"/>
    <mergeCell ref="AG13:AH13"/>
    <mergeCell ref="AG14:AH14"/>
    <mergeCell ref="AG15:AH15"/>
    <mergeCell ref="AD11:AF11"/>
    <mergeCell ref="AD12:AF12"/>
    <mergeCell ref="AD13:AF13"/>
    <mergeCell ref="F12:K12"/>
    <mergeCell ref="AB11:AC11"/>
    <mergeCell ref="AB12:AC12"/>
    <mergeCell ref="AB17:AC17"/>
    <mergeCell ref="AG18:AH18"/>
    <mergeCell ref="AD18:AF18"/>
    <mergeCell ref="U11:X11"/>
    <mergeCell ref="U12:X12"/>
    <mergeCell ref="AI11:AL11"/>
    <mergeCell ref="AI12:AL12"/>
    <mergeCell ref="C4:AU4"/>
    <mergeCell ref="F10:K10"/>
    <mergeCell ref="L10:N10"/>
    <mergeCell ref="O10:T10"/>
    <mergeCell ref="U10:X10"/>
    <mergeCell ref="AD10:AF10"/>
    <mergeCell ref="AO10:AP10"/>
    <mergeCell ref="AQ10:AT10"/>
    <mergeCell ref="AB10:AC10"/>
    <mergeCell ref="AG10:AH10"/>
    <mergeCell ref="AI10:AL10"/>
    <mergeCell ref="AM10:AN10"/>
    <mergeCell ref="V5:AF5"/>
    <mergeCell ref="V6:AF6"/>
    <mergeCell ref="AG5:AT6"/>
    <mergeCell ref="AQ11:AT11"/>
    <mergeCell ref="AQ12:AT12"/>
    <mergeCell ref="Y10:AA10"/>
    <mergeCell ref="AM12:AN12"/>
    <mergeCell ref="R8:AT9"/>
    <mergeCell ref="AO42:AP42"/>
    <mergeCell ref="AQ42:AT42"/>
    <mergeCell ref="AF42:AH42"/>
    <mergeCell ref="AI32:AL32"/>
    <mergeCell ref="AM11:AN11"/>
    <mergeCell ref="AB15:AC15"/>
    <mergeCell ref="AB16:AC16"/>
    <mergeCell ref="AB27:AC27"/>
    <mergeCell ref="AB28:AC28"/>
    <mergeCell ref="AB29:AC29"/>
    <mergeCell ref="AB30:AC30"/>
    <mergeCell ref="AG25:AH25"/>
    <mergeCell ref="AG29:AH29"/>
    <mergeCell ref="AG30:AH30"/>
    <mergeCell ref="AG20:AH20"/>
    <mergeCell ref="AG21:AH21"/>
    <mergeCell ref="AG22:AH22"/>
    <mergeCell ref="AG23:AH23"/>
    <mergeCell ref="AG24:AH24"/>
    <mergeCell ref="AM28:AN28"/>
    <mergeCell ref="AI21:AL21"/>
    <mergeCell ref="AB18:AC18"/>
    <mergeCell ref="AB19:AC19"/>
    <mergeCell ref="AI16:AL16"/>
    <mergeCell ref="F45:Q45"/>
    <mergeCell ref="R45:T45"/>
    <mergeCell ref="U47:W47"/>
    <mergeCell ref="F48:Q48"/>
    <mergeCell ref="AM50:AN50"/>
    <mergeCell ref="AO50:AP50"/>
    <mergeCell ref="AG50:AH50"/>
    <mergeCell ref="AM46:AN46"/>
    <mergeCell ref="AO46:AP46"/>
    <mergeCell ref="F46:Q46"/>
    <mergeCell ref="R46:T46"/>
    <mergeCell ref="F50:Q50"/>
    <mergeCell ref="R50:T50"/>
    <mergeCell ref="U50:W50"/>
    <mergeCell ref="F47:Q47"/>
    <mergeCell ref="R47:T47"/>
    <mergeCell ref="R48:T48"/>
    <mergeCell ref="U48:W48"/>
    <mergeCell ref="U45:W45"/>
    <mergeCell ref="AI45:AL45"/>
    <mergeCell ref="AM45:AN45"/>
    <mergeCell ref="AI50:AL50"/>
    <mergeCell ref="AI47:AL47"/>
    <mergeCell ref="AM47:AN47"/>
    <mergeCell ref="AO47:AP47"/>
    <mergeCell ref="AQ47:AT47"/>
    <mergeCell ref="AI48:AL48"/>
    <mergeCell ref="AM48:AN48"/>
    <mergeCell ref="AO48:AP48"/>
    <mergeCell ref="AQ48:AT48"/>
    <mergeCell ref="AQ50:AT50"/>
    <mergeCell ref="AQ52:AT52"/>
    <mergeCell ref="AI52:AL52"/>
    <mergeCell ref="AM52:AN52"/>
    <mergeCell ref="AO52:AP52"/>
    <mergeCell ref="AK55:AN55"/>
    <mergeCell ref="AK61:AN61"/>
    <mergeCell ref="AK62:AN62"/>
    <mergeCell ref="AK63:AN63"/>
    <mergeCell ref="AK59:AN59"/>
    <mergeCell ref="AK60:AN60"/>
    <mergeCell ref="F56:AJ56"/>
    <mergeCell ref="F57:AJ57"/>
    <mergeCell ref="F58:AJ58"/>
    <mergeCell ref="AK56:AN56"/>
    <mergeCell ref="AK57:AN57"/>
    <mergeCell ref="AK58:AN58"/>
    <mergeCell ref="F60:AJ60"/>
    <mergeCell ref="F55:AJ55"/>
    <mergeCell ref="F59:AJ59"/>
    <mergeCell ref="AK64:AN64"/>
    <mergeCell ref="AK65:AN65"/>
    <mergeCell ref="F68:AJ68"/>
    <mergeCell ref="AP66:AT66"/>
    <mergeCell ref="AK68:AN68"/>
    <mergeCell ref="AK69:AN69"/>
    <mergeCell ref="F61:AJ61"/>
    <mergeCell ref="F62:AJ62"/>
    <mergeCell ref="F63:AJ63"/>
    <mergeCell ref="F64:AJ64"/>
    <mergeCell ref="AK70:AN70"/>
    <mergeCell ref="F75:AJ75"/>
    <mergeCell ref="AK75:AN75"/>
    <mergeCell ref="F76:AJ76"/>
    <mergeCell ref="AK76:AN76"/>
    <mergeCell ref="AK71:AN71"/>
    <mergeCell ref="AK72:AN72"/>
    <mergeCell ref="AK73:AN73"/>
    <mergeCell ref="AK74:AN74"/>
    <mergeCell ref="F73:AJ73"/>
    <mergeCell ref="F74:AJ74"/>
    <mergeCell ref="AP100:AT100"/>
    <mergeCell ref="AK97:AN97"/>
    <mergeCell ref="AK98:AN98"/>
    <mergeCell ref="AK99:AN99"/>
    <mergeCell ref="AK95:AN95"/>
    <mergeCell ref="AK96:AN96"/>
    <mergeCell ref="F85:AJ85"/>
    <mergeCell ref="AK85:AN85"/>
    <mergeCell ref="F77:AJ77"/>
    <mergeCell ref="F89:AJ89"/>
    <mergeCell ref="F83:AJ83"/>
    <mergeCell ref="AP87:AT87"/>
    <mergeCell ref="AP86:AT86"/>
    <mergeCell ref="F80:AJ80"/>
    <mergeCell ref="AK80:AN80"/>
    <mergeCell ref="F81:AJ81"/>
    <mergeCell ref="AK81:AN81"/>
    <mergeCell ref="F82:AJ82"/>
    <mergeCell ref="AK82:AN82"/>
    <mergeCell ref="AK89:AN89"/>
    <mergeCell ref="AK90:AN90"/>
    <mergeCell ref="F92:L99"/>
    <mergeCell ref="M93:AJ93"/>
    <mergeCell ref="M94:AJ94"/>
    <mergeCell ref="AK124:AN124"/>
    <mergeCell ref="F125:L125"/>
    <mergeCell ref="M125:AJ125"/>
    <mergeCell ref="M126:AJ126"/>
    <mergeCell ref="AK126:AN126"/>
    <mergeCell ref="AK93:AN93"/>
    <mergeCell ref="AK94:AN94"/>
    <mergeCell ref="M119:AJ119"/>
    <mergeCell ref="AK119:AN119"/>
    <mergeCell ref="M118:AJ118"/>
    <mergeCell ref="AK118:AN118"/>
    <mergeCell ref="AK116:AN116"/>
    <mergeCell ref="AK109:AN109"/>
    <mergeCell ref="F109:AJ109"/>
    <mergeCell ref="AK110:AN110"/>
    <mergeCell ref="AK111:AN111"/>
    <mergeCell ref="F110:AJ110"/>
    <mergeCell ref="F111:AJ111"/>
    <mergeCell ref="F112:AJ112"/>
    <mergeCell ref="AK123:AN123"/>
    <mergeCell ref="AK104:AN104"/>
    <mergeCell ref="AK105:AN105"/>
    <mergeCell ref="AK106:AN106"/>
    <mergeCell ref="F102:AJ102"/>
    <mergeCell ref="AP145:AT145"/>
    <mergeCell ref="AI136:AL136"/>
    <mergeCell ref="AP137:AT137"/>
    <mergeCell ref="AP134:AT134"/>
    <mergeCell ref="AK128:AN128"/>
    <mergeCell ref="Y136:AB136"/>
    <mergeCell ref="AD137:AG137"/>
    <mergeCell ref="O134:R134"/>
    <mergeCell ref="AP139:AT139"/>
    <mergeCell ref="AP141:AT141"/>
    <mergeCell ref="AP140:AR140"/>
    <mergeCell ref="O137:R137"/>
    <mergeCell ref="T137:W137"/>
    <mergeCell ref="Y137:AB137"/>
    <mergeCell ref="O136:R136"/>
    <mergeCell ref="T136:W136"/>
    <mergeCell ref="AP143:AT143"/>
    <mergeCell ref="O133:R133"/>
    <mergeCell ref="AP130:AT130"/>
    <mergeCell ref="M128:AJ128"/>
    <mergeCell ref="M129:AJ129"/>
    <mergeCell ref="AI137:AL137"/>
    <mergeCell ref="AP114:AT114"/>
    <mergeCell ref="AK125:AN125"/>
    <mergeCell ref="F108:AJ108"/>
    <mergeCell ref="AK108:AN108"/>
    <mergeCell ref="AK129:AN129"/>
    <mergeCell ref="T133:W133"/>
    <mergeCell ref="T134:W134"/>
    <mergeCell ref="AD136:AG136"/>
    <mergeCell ref="AK117:AN117"/>
    <mergeCell ref="F118:L118"/>
    <mergeCell ref="F123:L123"/>
    <mergeCell ref="M123:AJ123"/>
    <mergeCell ref="F117:L117"/>
    <mergeCell ref="M117:AJ117"/>
    <mergeCell ref="F126:L126"/>
    <mergeCell ref="M127:AJ127"/>
    <mergeCell ref="F116:AJ116"/>
    <mergeCell ref="AK127:AN127"/>
    <mergeCell ref="F113:AJ113"/>
    <mergeCell ref="F127:L129"/>
    <mergeCell ref="F124:L124"/>
    <mergeCell ref="M124:AJ124"/>
    <mergeCell ref="F119:L122"/>
    <mergeCell ref="M122:AJ122"/>
    <mergeCell ref="AR3:AU3"/>
    <mergeCell ref="AG45:AH45"/>
    <mergeCell ref="AG46:AH46"/>
    <mergeCell ref="AG47:AH47"/>
    <mergeCell ref="AG48:AH48"/>
    <mergeCell ref="AG49:AH49"/>
    <mergeCell ref="AQ49:AT49"/>
    <mergeCell ref="AO45:AP45"/>
    <mergeCell ref="AQ45:AT45"/>
    <mergeCell ref="AI46:AL46"/>
    <mergeCell ref="AI49:AL49"/>
    <mergeCell ref="AM49:AN49"/>
    <mergeCell ref="AO49:AP49"/>
    <mergeCell ref="AQ46:AT46"/>
    <mergeCell ref="AO32:AP32"/>
    <mergeCell ref="AQ32:AT32"/>
    <mergeCell ref="AQ35:AT35"/>
    <mergeCell ref="AO35:AP35"/>
    <mergeCell ref="AI35:AL35"/>
    <mergeCell ref="AI42:AL42"/>
    <mergeCell ref="AM42:AN42"/>
    <mergeCell ref="AI22:AL22"/>
    <mergeCell ref="AM25:AN25"/>
    <mergeCell ref="AG26:AH26"/>
    <mergeCell ref="U46:W46"/>
    <mergeCell ref="AI40:AL40"/>
    <mergeCell ref="AK102:AN102"/>
    <mergeCell ref="AK103:AN103"/>
    <mergeCell ref="AK92:AN92"/>
    <mergeCell ref="AK91:AN91"/>
    <mergeCell ref="AK77:AN77"/>
    <mergeCell ref="F78:AJ78"/>
    <mergeCell ref="AK78:AN78"/>
    <mergeCell ref="F79:AJ79"/>
    <mergeCell ref="AK79:AN79"/>
    <mergeCell ref="F90:L90"/>
    <mergeCell ref="F91:L91"/>
    <mergeCell ref="M90:AJ90"/>
    <mergeCell ref="M91:AJ91"/>
    <mergeCell ref="M92:AJ92"/>
    <mergeCell ref="AK83:AN83"/>
    <mergeCell ref="F84:AJ84"/>
    <mergeCell ref="AB40:AD40"/>
    <mergeCell ref="AK84:AN84"/>
    <mergeCell ref="F65:AJ65"/>
    <mergeCell ref="F71:AJ71"/>
    <mergeCell ref="F72:AJ72"/>
    <mergeCell ref="F69:AJ69"/>
    <mergeCell ref="M95:AJ95"/>
    <mergeCell ref="M96:AJ96"/>
    <mergeCell ref="M97:AJ97"/>
    <mergeCell ref="M98:AJ98"/>
    <mergeCell ref="M99:AJ99"/>
    <mergeCell ref="F49:Q49"/>
    <mergeCell ref="R49:T49"/>
    <mergeCell ref="U49:W49"/>
    <mergeCell ref="F70:AJ70"/>
    <mergeCell ref="AK122:AN122"/>
    <mergeCell ref="M120:AJ120"/>
    <mergeCell ref="M121:AJ121"/>
    <mergeCell ref="AK120:AN120"/>
    <mergeCell ref="AK121:AN121"/>
    <mergeCell ref="AK113:AN113"/>
    <mergeCell ref="F103:AJ103"/>
    <mergeCell ref="AK107:AN107"/>
    <mergeCell ref="AK112:AN112"/>
    <mergeCell ref="F107:AJ107"/>
    <mergeCell ref="F104:AJ104"/>
    <mergeCell ref="F105:AJ105"/>
    <mergeCell ref="F106:AJ106"/>
  </mergeCells>
  <conditionalFormatting sqref="AB11:AC30">
    <cfRule type="expression" dxfId="123" priority="22" stopIfTrue="1">
      <formula>OR(AND($Y11=3,$AB11&gt;3),AND($Y11=2,$AB11&gt;9),AND($Y11=4,$AB11&gt;12))</formula>
    </cfRule>
  </conditionalFormatting>
  <conditionalFormatting sqref="AG11:AH30">
    <cfRule type="expression" dxfId="122" priority="19" stopIfTrue="1">
      <formula>OR($U11="",$AB11="",$AD11="")</formula>
    </cfRule>
  </conditionalFormatting>
  <conditionalFormatting sqref="AI11:AL30">
    <cfRule type="expression" dxfId="121" priority="17" stopIfTrue="1">
      <formula>OR($U11="",$AB11="",$AD11="")</formula>
    </cfRule>
  </conditionalFormatting>
  <conditionalFormatting sqref="AM11:AN30">
    <cfRule type="expression" dxfId="120" priority="16" stopIfTrue="1">
      <formula>OR($U11="",$AB11="",$AD11="")</formula>
    </cfRule>
  </conditionalFormatting>
  <conditionalFormatting sqref="AO11:AP30">
    <cfRule type="expression" dxfId="119" priority="15" stopIfTrue="1">
      <formula>OR($U11="",$AB11="",$AD11="")</formula>
    </cfRule>
  </conditionalFormatting>
  <conditionalFormatting sqref="AQ11:AT30">
    <cfRule type="expression" dxfId="118" priority="14" stopIfTrue="1">
      <formula>OR($U11="",$AB11="",$AD11="")</formula>
    </cfRule>
  </conditionalFormatting>
  <conditionalFormatting sqref="AI46:AT50">
    <cfRule type="expression" dxfId="117" priority="12" stopIfTrue="1">
      <formula>$U46=""</formula>
    </cfRule>
  </conditionalFormatting>
  <conditionalFormatting sqref="AG46:AH50">
    <cfRule type="expression" dxfId="116" priority="11" stopIfTrue="1">
      <formula>$U46=""</formula>
    </cfRule>
  </conditionalFormatting>
  <conditionalFormatting sqref="AD11:AF30">
    <cfRule type="expression" dxfId="115" priority="9" stopIfTrue="1">
      <formula>$AD11&gt;100%</formula>
    </cfRule>
  </conditionalFormatting>
  <conditionalFormatting sqref="V5:AT6">
    <cfRule type="cellIs" dxfId="114" priority="7" stopIfTrue="1" operator="lessThanOrEqual">
      <formula>0</formula>
    </cfRule>
  </conditionalFormatting>
  <conditionalFormatting sqref="R8:AT9">
    <cfRule type="expression" dxfId="113" priority="6">
      <formula>SUM($T$11:$T$30)&gt;0</formula>
    </cfRule>
  </conditionalFormatting>
  <conditionalFormatting sqref="U11:X30">
    <cfRule type="expression" dxfId="112" priority="5">
      <formula>$T11&lt;&gt;""</formula>
    </cfRule>
  </conditionalFormatting>
  <conditionalFormatting sqref="AF36:AT40">
    <cfRule type="expression" dxfId="111" priority="32" stopIfTrue="1">
      <formula>$AB36=""</formula>
    </cfRule>
  </conditionalFormatting>
  <dataValidations count="7">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2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17:AN124 AK126:AN129 R46:W50 AK56:AN65 AK69:AN76 AK78:AN85 AK90:AN99 AK103:AN107 AK109:AN113 U11:X30" xr:uid="{00000000-0002-0000-02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200-000002000000}">
      <formula1>0</formula1>
      <formula2>500</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2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200-000004000000}">
      <formula1>0</formula1>
      <formula2>4</formula2>
    </dataValidation>
    <dataValidation allowBlank="1" showErrorMessage="1" errorTitle="Data Entry Prohibited" error="Do not enter data direclty into this cell.  The value of this cell is controlled by the &quot;Pay Basis&quot; drop-down." sqref="O11:O30" xr:uid="{00000000-0002-0000-0200-000005000000}"/>
    <dataValidation type="whole" allowBlank="1" showErrorMessage="1" errorTitle="Data Entry Prohibited" error="Do not enter data direclty into this cell.  The value of this cell is controlled by the &quot;Role&quot; drop-down." sqref="L11:L30" xr:uid="{00000000-0002-0000-0200-000006000000}">
      <formula1>0</formula1>
      <formula2>5</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56:E65 E69:E85 E90:E99 E103:E107 E109:E113 E46:E50 E36:E40 E117:E12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11</xdr:col>
                    <xdr:colOff>19050</xdr:colOff>
                    <xdr:row>10</xdr:row>
                    <xdr:rowOff>19050</xdr:rowOff>
                  </from>
                  <to>
                    <xdr:col>13</xdr:col>
                    <xdr:colOff>247650</xdr:colOff>
                    <xdr:row>10</xdr:row>
                    <xdr:rowOff>219075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14</xdr:col>
                    <xdr:colOff>19050</xdr:colOff>
                    <xdr:row>10</xdr:row>
                    <xdr:rowOff>19050</xdr:rowOff>
                  </from>
                  <to>
                    <xdr:col>19</xdr:col>
                    <xdr:colOff>247650</xdr:colOff>
                    <xdr:row>10</xdr:row>
                    <xdr:rowOff>219075</xdr:rowOff>
                  </to>
                </anchor>
              </controlPr>
            </control>
          </mc:Choice>
        </mc:AlternateContent>
        <mc:AlternateContent xmlns:mc="http://schemas.openxmlformats.org/markup-compatibility/2006">
          <mc:Choice Requires="x14">
            <control shapeId="3075" r:id="rId6"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3076" r:id="rId7" name="Drop Down 4">
              <controlPr defaultSize="0" autoLine="0" autoPict="0">
                <anchor moveWithCells="1">
                  <from>
                    <xdr:col>11</xdr:col>
                    <xdr:colOff>19050</xdr:colOff>
                    <xdr:row>11</xdr:row>
                    <xdr:rowOff>19050</xdr:rowOff>
                  </from>
                  <to>
                    <xdr:col>13</xdr:col>
                    <xdr:colOff>247650</xdr:colOff>
                    <xdr:row>11</xdr:row>
                    <xdr:rowOff>219075</xdr:rowOff>
                  </to>
                </anchor>
              </controlPr>
            </control>
          </mc:Choice>
        </mc:AlternateContent>
        <mc:AlternateContent xmlns:mc="http://schemas.openxmlformats.org/markup-compatibility/2006">
          <mc:Choice Requires="x14">
            <control shapeId="3077" r:id="rId8" name="Drop Down 5">
              <controlPr defaultSize="0" autoLine="0" autoPict="0">
                <anchor moveWithCells="1">
                  <from>
                    <xdr:col>11</xdr:col>
                    <xdr:colOff>19050</xdr:colOff>
                    <xdr:row>12</xdr:row>
                    <xdr:rowOff>19050</xdr:rowOff>
                  </from>
                  <to>
                    <xdr:col>13</xdr:col>
                    <xdr:colOff>247650</xdr:colOff>
                    <xdr:row>12</xdr:row>
                    <xdr:rowOff>219075</xdr:rowOff>
                  </to>
                </anchor>
              </controlPr>
            </control>
          </mc:Choice>
        </mc:AlternateContent>
        <mc:AlternateContent xmlns:mc="http://schemas.openxmlformats.org/markup-compatibility/2006">
          <mc:Choice Requires="x14">
            <control shapeId="3078" r:id="rId9" name="Drop Down 6">
              <controlPr defaultSize="0" autoLine="0" autoPict="0">
                <anchor moveWithCells="1">
                  <from>
                    <xdr:col>11</xdr:col>
                    <xdr:colOff>19050</xdr:colOff>
                    <xdr:row>13</xdr:row>
                    <xdr:rowOff>19050</xdr:rowOff>
                  </from>
                  <to>
                    <xdr:col>13</xdr:col>
                    <xdr:colOff>247650</xdr:colOff>
                    <xdr:row>13</xdr:row>
                    <xdr:rowOff>219075</xdr:rowOff>
                  </to>
                </anchor>
              </controlPr>
            </control>
          </mc:Choice>
        </mc:AlternateContent>
        <mc:AlternateContent xmlns:mc="http://schemas.openxmlformats.org/markup-compatibility/2006">
          <mc:Choice Requires="x14">
            <control shapeId="3079" r:id="rId10" name="Drop Down 7">
              <controlPr defaultSize="0" autoLine="0" autoPict="0">
                <anchor moveWithCells="1">
                  <from>
                    <xdr:col>11</xdr:col>
                    <xdr:colOff>19050</xdr:colOff>
                    <xdr:row>14</xdr:row>
                    <xdr:rowOff>19050</xdr:rowOff>
                  </from>
                  <to>
                    <xdr:col>13</xdr:col>
                    <xdr:colOff>247650</xdr:colOff>
                    <xdr:row>14</xdr:row>
                    <xdr:rowOff>219075</xdr:rowOff>
                  </to>
                </anchor>
              </controlPr>
            </control>
          </mc:Choice>
        </mc:AlternateContent>
        <mc:AlternateContent xmlns:mc="http://schemas.openxmlformats.org/markup-compatibility/2006">
          <mc:Choice Requires="x14">
            <control shapeId="3080" r:id="rId11" name="Drop Down 8">
              <controlPr defaultSize="0" autoLine="0" autoPict="0">
                <anchor moveWithCells="1">
                  <from>
                    <xdr:col>11</xdr:col>
                    <xdr:colOff>19050</xdr:colOff>
                    <xdr:row>15</xdr:row>
                    <xdr:rowOff>19050</xdr:rowOff>
                  </from>
                  <to>
                    <xdr:col>13</xdr:col>
                    <xdr:colOff>247650</xdr:colOff>
                    <xdr:row>15</xdr:row>
                    <xdr:rowOff>219075</xdr:rowOff>
                  </to>
                </anchor>
              </controlPr>
            </control>
          </mc:Choice>
        </mc:AlternateContent>
        <mc:AlternateContent xmlns:mc="http://schemas.openxmlformats.org/markup-compatibility/2006">
          <mc:Choice Requires="x14">
            <control shapeId="3081" r:id="rId12" name="Drop Down 9">
              <controlPr defaultSize="0" autoLine="0" autoPict="0">
                <anchor moveWithCells="1">
                  <from>
                    <xdr:col>11</xdr:col>
                    <xdr:colOff>19050</xdr:colOff>
                    <xdr:row>16</xdr:row>
                    <xdr:rowOff>19050</xdr:rowOff>
                  </from>
                  <to>
                    <xdr:col>13</xdr:col>
                    <xdr:colOff>247650</xdr:colOff>
                    <xdr:row>16</xdr:row>
                    <xdr:rowOff>219075</xdr:rowOff>
                  </to>
                </anchor>
              </controlPr>
            </control>
          </mc:Choice>
        </mc:AlternateContent>
        <mc:AlternateContent xmlns:mc="http://schemas.openxmlformats.org/markup-compatibility/2006">
          <mc:Choice Requires="x14">
            <control shapeId="3082" r:id="rId13" name="Drop Down 10">
              <controlPr defaultSize="0" autoLine="0" autoPict="0">
                <anchor moveWithCells="1">
                  <from>
                    <xdr:col>11</xdr:col>
                    <xdr:colOff>19050</xdr:colOff>
                    <xdr:row>17</xdr:row>
                    <xdr:rowOff>19050</xdr:rowOff>
                  </from>
                  <to>
                    <xdr:col>13</xdr:col>
                    <xdr:colOff>247650</xdr:colOff>
                    <xdr:row>17</xdr:row>
                    <xdr:rowOff>219075</xdr:rowOff>
                  </to>
                </anchor>
              </controlPr>
            </control>
          </mc:Choice>
        </mc:AlternateContent>
        <mc:AlternateContent xmlns:mc="http://schemas.openxmlformats.org/markup-compatibility/2006">
          <mc:Choice Requires="x14">
            <control shapeId="3083" r:id="rId14" name="Drop Down 11">
              <controlPr defaultSize="0" autoLine="0" autoPict="0">
                <anchor moveWithCells="1">
                  <from>
                    <xdr:col>11</xdr:col>
                    <xdr:colOff>19050</xdr:colOff>
                    <xdr:row>18</xdr:row>
                    <xdr:rowOff>19050</xdr:rowOff>
                  </from>
                  <to>
                    <xdr:col>13</xdr:col>
                    <xdr:colOff>247650</xdr:colOff>
                    <xdr:row>18</xdr:row>
                    <xdr:rowOff>219075</xdr:rowOff>
                  </to>
                </anchor>
              </controlPr>
            </control>
          </mc:Choice>
        </mc:AlternateContent>
        <mc:AlternateContent xmlns:mc="http://schemas.openxmlformats.org/markup-compatibility/2006">
          <mc:Choice Requires="x14">
            <control shapeId="3084" r:id="rId15" name="Drop Down 12">
              <controlPr defaultSize="0" autoLine="0" autoPict="0">
                <anchor moveWithCells="1">
                  <from>
                    <xdr:col>11</xdr:col>
                    <xdr:colOff>19050</xdr:colOff>
                    <xdr:row>19</xdr:row>
                    <xdr:rowOff>19050</xdr:rowOff>
                  </from>
                  <to>
                    <xdr:col>13</xdr:col>
                    <xdr:colOff>247650</xdr:colOff>
                    <xdr:row>19</xdr:row>
                    <xdr:rowOff>219075</xdr:rowOff>
                  </to>
                </anchor>
              </controlPr>
            </control>
          </mc:Choice>
        </mc:AlternateContent>
        <mc:AlternateContent xmlns:mc="http://schemas.openxmlformats.org/markup-compatibility/2006">
          <mc:Choice Requires="x14">
            <control shapeId="3085" r:id="rId16" name="Drop Down 13">
              <controlPr defaultSize="0" autoLine="0" autoPict="0">
                <anchor moveWithCells="1">
                  <from>
                    <xdr:col>11</xdr:col>
                    <xdr:colOff>19050</xdr:colOff>
                    <xdr:row>20</xdr:row>
                    <xdr:rowOff>19050</xdr:rowOff>
                  </from>
                  <to>
                    <xdr:col>13</xdr:col>
                    <xdr:colOff>247650</xdr:colOff>
                    <xdr:row>20</xdr:row>
                    <xdr:rowOff>219075</xdr:rowOff>
                  </to>
                </anchor>
              </controlPr>
            </control>
          </mc:Choice>
        </mc:AlternateContent>
        <mc:AlternateContent xmlns:mc="http://schemas.openxmlformats.org/markup-compatibility/2006">
          <mc:Choice Requires="x14">
            <control shapeId="3086" r:id="rId17" name="Drop Down 14">
              <controlPr defaultSize="0" autoLine="0" autoPict="0">
                <anchor moveWithCells="1">
                  <from>
                    <xdr:col>11</xdr:col>
                    <xdr:colOff>19050</xdr:colOff>
                    <xdr:row>21</xdr:row>
                    <xdr:rowOff>19050</xdr:rowOff>
                  </from>
                  <to>
                    <xdr:col>13</xdr:col>
                    <xdr:colOff>247650</xdr:colOff>
                    <xdr:row>21</xdr:row>
                    <xdr:rowOff>219075</xdr:rowOff>
                  </to>
                </anchor>
              </controlPr>
            </control>
          </mc:Choice>
        </mc:AlternateContent>
        <mc:AlternateContent xmlns:mc="http://schemas.openxmlformats.org/markup-compatibility/2006">
          <mc:Choice Requires="x14">
            <control shapeId="3087" r:id="rId18" name="Drop Down 15">
              <controlPr defaultSize="0" autoLine="0" autoPict="0">
                <anchor moveWithCells="1">
                  <from>
                    <xdr:col>11</xdr:col>
                    <xdr:colOff>19050</xdr:colOff>
                    <xdr:row>22</xdr:row>
                    <xdr:rowOff>19050</xdr:rowOff>
                  </from>
                  <to>
                    <xdr:col>13</xdr:col>
                    <xdr:colOff>247650</xdr:colOff>
                    <xdr:row>22</xdr:row>
                    <xdr:rowOff>219075</xdr:rowOff>
                  </to>
                </anchor>
              </controlPr>
            </control>
          </mc:Choice>
        </mc:AlternateContent>
        <mc:AlternateContent xmlns:mc="http://schemas.openxmlformats.org/markup-compatibility/2006">
          <mc:Choice Requires="x14">
            <control shapeId="3088" r:id="rId19" name="Drop Down 16">
              <controlPr defaultSize="0" autoLine="0" autoPict="0">
                <anchor moveWithCells="1">
                  <from>
                    <xdr:col>11</xdr:col>
                    <xdr:colOff>19050</xdr:colOff>
                    <xdr:row>23</xdr:row>
                    <xdr:rowOff>19050</xdr:rowOff>
                  </from>
                  <to>
                    <xdr:col>13</xdr:col>
                    <xdr:colOff>247650</xdr:colOff>
                    <xdr:row>23</xdr:row>
                    <xdr:rowOff>219075</xdr:rowOff>
                  </to>
                </anchor>
              </controlPr>
            </control>
          </mc:Choice>
        </mc:AlternateContent>
        <mc:AlternateContent xmlns:mc="http://schemas.openxmlformats.org/markup-compatibility/2006">
          <mc:Choice Requires="x14">
            <control shapeId="3089" r:id="rId20" name="Drop Down 17">
              <controlPr defaultSize="0" autoLine="0" autoPict="0">
                <anchor moveWithCells="1">
                  <from>
                    <xdr:col>11</xdr:col>
                    <xdr:colOff>19050</xdr:colOff>
                    <xdr:row>24</xdr:row>
                    <xdr:rowOff>19050</xdr:rowOff>
                  </from>
                  <to>
                    <xdr:col>13</xdr:col>
                    <xdr:colOff>247650</xdr:colOff>
                    <xdr:row>24</xdr:row>
                    <xdr:rowOff>219075</xdr:rowOff>
                  </to>
                </anchor>
              </controlPr>
            </control>
          </mc:Choice>
        </mc:AlternateContent>
        <mc:AlternateContent xmlns:mc="http://schemas.openxmlformats.org/markup-compatibility/2006">
          <mc:Choice Requires="x14">
            <control shapeId="3090" r:id="rId21" name="Drop Down 18">
              <controlPr defaultSize="0" autoLine="0" autoPict="0">
                <anchor moveWithCells="1">
                  <from>
                    <xdr:col>11</xdr:col>
                    <xdr:colOff>19050</xdr:colOff>
                    <xdr:row>25</xdr:row>
                    <xdr:rowOff>19050</xdr:rowOff>
                  </from>
                  <to>
                    <xdr:col>13</xdr:col>
                    <xdr:colOff>247650</xdr:colOff>
                    <xdr:row>25</xdr:row>
                    <xdr:rowOff>219075</xdr:rowOff>
                  </to>
                </anchor>
              </controlPr>
            </control>
          </mc:Choice>
        </mc:AlternateContent>
        <mc:AlternateContent xmlns:mc="http://schemas.openxmlformats.org/markup-compatibility/2006">
          <mc:Choice Requires="x14">
            <control shapeId="3091" r:id="rId22" name="Drop Down 19">
              <controlPr defaultSize="0" autoLine="0" autoPict="0">
                <anchor moveWithCells="1">
                  <from>
                    <xdr:col>11</xdr:col>
                    <xdr:colOff>19050</xdr:colOff>
                    <xdr:row>26</xdr:row>
                    <xdr:rowOff>19050</xdr:rowOff>
                  </from>
                  <to>
                    <xdr:col>13</xdr:col>
                    <xdr:colOff>247650</xdr:colOff>
                    <xdr:row>26</xdr:row>
                    <xdr:rowOff>219075</xdr:rowOff>
                  </to>
                </anchor>
              </controlPr>
            </control>
          </mc:Choice>
        </mc:AlternateContent>
        <mc:AlternateContent xmlns:mc="http://schemas.openxmlformats.org/markup-compatibility/2006">
          <mc:Choice Requires="x14">
            <control shapeId="3092" r:id="rId23" name="Drop Down 20">
              <controlPr defaultSize="0" autoLine="0" autoPict="0">
                <anchor moveWithCells="1">
                  <from>
                    <xdr:col>11</xdr:col>
                    <xdr:colOff>19050</xdr:colOff>
                    <xdr:row>27</xdr:row>
                    <xdr:rowOff>19050</xdr:rowOff>
                  </from>
                  <to>
                    <xdr:col>13</xdr:col>
                    <xdr:colOff>247650</xdr:colOff>
                    <xdr:row>27</xdr:row>
                    <xdr:rowOff>219075</xdr:rowOff>
                  </to>
                </anchor>
              </controlPr>
            </control>
          </mc:Choice>
        </mc:AlternateContent>
        <mc:AlternateContent xmlns:mc="http://schemas.openxmlformats.org/markup-compatibility/2006">
          <mc:Choice Requires="x14">
            <control shapeId="3093" r:id="rId24" name="Drop Down 21">
              <controlPr defaultSize="0" autoLine="0" autoPict="0">
                <anchor moveWithCells="1">
                  <from>
                    <xdr:col>11</xdr:col>
                    <xdr:colOff>19050</xdr:colOff>
                    <xdr:row>28</xdr:row>
                    <xdr:rowOff>19050</xdr:rowOff>
                  </from>
                  <to>
                    <xdr:col>13</xdr:col>
                    <xdr:colOff>247650</xdr:colOff>
                    <xdr:row>28</xdr:row>
                    <xdr:rowOff>219075</xdr:rowOff>
                  </to>
                </anchor>
              </controlPr>
            </control>
          </mc:Choice>
        </mc:AlternateContent>
        <mc:AlternateContent xmlns:mc="http://schemas.openxmlformats.org/markup-compatibility/2006">
          <mc:Choice Requires="x14">
            <control shapeId="3094" r:id="rId25" name="Drop Down 22">
              <controlPr defaultSize="0" autoLine="0" autoPict="0">
                <anchor moveWithCells="1">
                  <from>
                    <xdr:col>11</xdr:col>
                    <xdr:colOff>19050</xdr:colOff>
                    <xdr:row>29</xdr:row>
                    <xdr:rowOff>19050</xdr:rowOff>
                  </from>
                  <to>
                    <xdr:col>13</xdr:col>
                    <xdr:colOff>247650</xdr:colOff>
                    <xdr:row>29</xdr:row>
                    <xdr:rowOff>219075</xdr:rowOff>
                  </to>
                </anchor>
              </controlPr>
            </control>
          </mc:Choice>
        </mc:AlternateContent>
        <mc:AlternateContent xmlns:mc="http://schemas.openxmlformats.org/markup-compatibility/2006">
          <mc:Choice Requires="x14">
            <control shapeId="3096" r:id="rId26" name="Drop Down 24">
              <controlPr defaultSize="0" autoLine="0" autoPict="0">
                <anchor moveWithCells="1">
                  <from>
                    <xdr:col>14</xdr:col>
                    <xdr:colOff>19050</xdr:colOff>
                    <xdr:row>11</xdr:row>
                    <xdr:rowOff>19050</xdr:rowOff>
                  </from>
                  <to>
                    <xdr:col>19</xdr:col>
                    <xdr:colOff>247650</xdr:colOff>
                    <xdr:row>11</xdr:row>
                    <xdr:rowOff>219075</xdr:rowOff>
                  </to>
                </anchor>
              </controlPr>
            </control>
          </mc:Choice>
        </mc:AlternateContent>
        <mc:AlternateContent xmlns:mc="http://schemas.openxmlformats.org/markup-compatibility/2006">
          <mc:Choice Requires="x14">
            <control shapeId="3097" r:id="rId27" name="Drop Down 25">
              <controlPr defaultSize="0" autoLine="0" autoPict="0">
                <anchor moveWithCells="1">
                  <from>
                    <xdr:col>14</xdr:col>
                    <xdr:colOff>19050</xdr:colOff>
                    <xdr:row>12</xdr:row>
                    <xdr:rowOff>19050</xdr:rowOff>
                  </from>
                  <to>
                    <xdr:col>19</xdr:col>
                    <xdr:colOff>247650</xdr:colOff>
                    <xdr:row>12</xdr:row>
                    <xdr:rowOff>219075</xdr:rowOff>
                  </to>
                </anchor>
              </controlPr>
            </control>
          </mc:Choice>
        </mc:AlternateContent>
        <mc:AlternateContent xmlns:mc="http://schemas.openxmlformats.org/markup-compatibility/2006">
          <mc:Choice Requires="x14">
            <control shapeId="3098" r:id="rId28" name="Drop Down 26">
              <controlPr defaultSize="0" autoLine="0" autoPict="0">
                <anchor moveWithCells="1">
                  <from>
                    <xdr:col>14</xdr:col>
                    <xdr:colOff>19050</xdr:colOff>
                    <xdr:row>13</xdr:row>
                    <xdr:rowOff>19050</xdr:rowOff>
                  </from>
                  <to>
                    <xdr:col>19</xdr:col>
                    <xdr:colOff>247650</xdr:colOff>
                    <xdr:row>13</xdr:row>
                    <xdr:rowOff>219075</xdr:rowOff>
                  </to>
                </anchor>
              </controlPr>
            </control>
          </mc:Choice>
        </mc:AlternateContent>
        <mc:AlternateContent xmlns:mc="http://schemas.openxmlformats.org/markup-compatibility/2006">
          <mc:Choice Requires="x14">
            <control shapeId="3099" r:id="rId29" name="Drop Down 27">
              <controlPr defaultSize="0" autoLine="0" autoPict="0">
                <anchor moveWithCells="1">
                  <from>
                    <xdr:col>14</xdr:col>
                    <xdr:colOff>19050</xdr:colOff>
                    <xdr:row>14</xdr:row>
                    <xdr:rowOff>19050</xdr:rowOff>
                  </from>
                  <to>
                    <xdr:col>19</xdr:col>
                    <xdr:colOff>247650</xdr:colOff>
                    <xdr:row>14</xdr:row>
                    <xdr:rowOff>219075</xdr:rowOff>
                  </to>
                </anchor>
              </controlPr>
            </control>
          </mc:Choice>
        </mc:AlternateContent>
        <mc:AlternateContent xmlns:mc="http://schemas.openxmlformats.org/markup-compatibility/2006">
          <mc:Choice Requires="x14">
            <control shapeId="3100" r:id="rId30" name="Drop Down 28">
              <controlPr defaultSize="0" autoLine="0" autoPict="0">
                <anchor moveWithCells="1">
                  <from>
                    <xdr:col>14</xdr:col>
                    <xdr:colOff>19050</xdr:colOff>
                    <xdr:row>15</xdr:row>
                    <xdr:rowOff>19050</xdr:rowOff>
                  </from>
                  <to>
                    <xdr:col>19</xdr:col>
                    <xdr:colOff>247650</xdr:colOff>
                    <xdr:row>15</xdr:row>
                    <xdr:rowOff>219075</xdr:rowOff>
                  </to>
                </anchor>
              </controlPr>
            </control>
          </mc:Choice>
        </mc:AlternateContent>
        <mc:AlternateContent xmlns:mc="http://schemas.openxmlformats.org/markup-compatibility/2006">
          <mc:Choice Requires="x14">
            <control shapeId="3101" r:id="rId31" name="Drop Down 29">
              <controlPr defaultSize="0" autoLine="0" autoPict="0">
                <anchor moveWithCells="1">
                  <from>
                    <xdr:col>14</xdr:col>
                    <xdr:colOff>19050</xdr:colOff>
                    <xdr:row>16</xdr:row>
                    <xdr:rowOff>19050</xdr:rowOff>
                  </from>
                  <to>
                    <xdr:col>19</xdr:col>
                    <xdr:colOff>247650</xdr:colOff>
                    <xdr:row>16</xdr:row>
                    <xdr:rowOff>219075</xdr:rowOff>
                  </to>
                </anchor>
              </controlPr>
            </control>
          </mc:Choice>
        </mc:AlternateContent>
        <mc:AlternateContent xmlns:mc="http://schemas.openxmlformats.org/markup-compatibility/2006">
          <mc:Choice Requires="x14">
            <control shapeId="3102" r:id="rId32" name="Drop Down 30">
              <controlPr defaultSize="0" autoLine="0" autoPict="0">
                <anchor moveWithCells="1">
                  <from>
                    <xdr:col>14</xdr:col>
                    <xdr:colOff>19050</xdr:colOff>
                    <xdr:row>17</xdr:row>
                    <xdr:rowOff>19050</xdr:rowOff>
                  </from>
                  <to>
                    <xdr:col>19</xdr:col>
                    <xdr:colOff>247650</xdr:colOff>
                    <xdr:row>17</xdr:row>
                    <xdr:rowOff>219075</xdr:rowOff>
                  </to>
                </anchor>
              </controlPr>
            </control>
          </mc:Choice>
        </mc:AlternateContent>
        <mc:AlternateContent xmlns:mc="http://schemas.openxmlformats.org/markup-compatibility/2006">
          <mc:Choice Requires="x14">
            <control shapeId="3103" r:id="rId33" name="Drop Down 31">
              <controlPr defaultSize="0" autoLine="0" autoPict="0">
                <anchor moveWithCells="1">
                  <from>
                    <xdr:col>14</xdr:col>
                    <xdr:colOff>19050</xdr:colOff>
                    <xdr:row>18</xdr:row>
                    <xdr:rowOff>19050</xdr:rowOff>
                  </from>
                  <to>
                    <xdr:col>19</xdr:col>
                    <xdr:colOff>247650</xdr:colOff>
                    <xdr:row>18</xdr:row>
                    <xdr:rowOff>219075</xdr:rowOff>
                  </to>
                </anchor>
              </controlPr>
            </control>
          </mc:Choice>
        </mc:AlternateContent>
        <mc:AlternateContent xmlns:mc="http://schemas.openxmlformats.org/markup-compatibility/2006">
          <mc:Choice Requires="x14">
            <control shapeId="3104" r:id="rId34" name="Drop Down 32">
              <controlPr defaultSize="0" autoLine="0" autoPict="0">
                <anchor moveWithCells="1">
                  <from>
                    <xdr:col>14</xdr:col>
                    <xdr:colOff>19050</xdr:colOff>
                    <xdr:row>19</xdr:row>
                    <xdr:rowOff>19050</xdr:rowOff>
                  </from>
                  <to>
                    <xdr:col>19</xdr:col>
                    <xdr:colOff>247650</xdr:colOff>
                    <xdr:row>19</xdr:row>
                    <xdr:rowOff>219075</xdr:rowOff>
                  </to>
                </anchor>
              </controlPr>
            </control>
          </mc:Choice>
        </mc:AlternateContent>
        <mc:AlternateContent xmlns:mc="http://schemas.openxmlformats.org/markup-compatibility/2006">
          <mc:Choice Requires="x14">
            <control shapeId="3105" r:id="rId35" name="Drop Down 33">
              <controlPr defaultSize="0" autoLine="0" autoPict="0">
                <anchor moveWithCells="1">
                  <from>
                    <xdr:col>14</xdr:col>
                    <xdr:colOff>19050</xdr:colOff>
                    <xdr:row>20</xdr:row>
                    <xdr:rowOff>19050</xdr:rowOff>
                  </from>
                  <to>
                    <xdr:col>19</xdr:col>
                    <xdr:colOff>247650</xdr:colOff>
                    <xdr:row>20</xdr:row>
                    <xdr:rowOff>219075</xdr:rowOff>
                  </to>
                </anchor>
              </controlPr>
            </control>
          </mc:Choice>
        </mc:AlternateContent>
        <mc:AlternateContent xmlns:mc="http://schemas.openxmlformats.org/markup-compatibility/2006">
          <mc:Choice Requires="x14">
            <control shapeId="3106" r:id="rId36" name="Drop Down 34">
              <controlPr defaultSize="0" autoLine="0" autoPict="0">
                <anchor moveWithCells="1">
                  <from>
                    <xdr:col>14</xdr:col>
                    <xdr:colOff>19050</xdr:colOff>
                    <xdr:row>21</xdr:row>
                    <xdr:rowOff>19050</xdr:rowOff>
                  </from>
                  <to>
                    <xdr:col>19</xdr:col>
                    <xdr:colOff>247650</xdr:colOff>
                    <xdr:row>21</xdr:row>
                    <xdr:rowOff>219075</xdr:rowOff>
                  </to>
                </anchor>
              </controlPr>
            </control>
          </mc:Choice>
        </mc:AlternateContent>
        <mc:AlternateContent xmlns:mc="http://schemas.openxmlformats.org/markup-compatibility/2006">
          <mc:Choice Requires="x14">
            <control shapeId="3107" r:id="rId37" name="Drop Down 35">
              <controlPr defaultSize="0" autoLine="0" autoPict="0">
                <anchor moveWithCells="1">
                  <from>
                    <xdr:col>14</xdr:col>
                    <xdr:colOff>19050</xdr:colOff>
                    <xdr:row>22</xdr:row>
                    <xdr:rowOff>19050</xdr:rowOff>
                  </from>
                  <to>
                    <xdr:col>19</xdr:col>
                    <xdr:colOff>247650</xdr:colOff>
                    <xdr:row>22</xdr:row>
                    <xdr:rowOff>219075</xdr:rowOff>
                  </to>
                </anchor>
              </controlPr>
            </control>
          </mc:Choice>
        </mc:AlternateContent>
        <mc:AlternateContent xmlns:mc="http://schemas.openxmlformats.org/markup-compatibility/2006">
          <mc:Choice Requires="x14">
            <control shapeId="3108" r:id="rId38" name="Drop Down 36">
              <controlPr defaultSize="0" autoLine="0" autoPict="0">
                <anchor moveWithCells="1">
                  <from>
                    <xdr:col>14</xdr:col>
                    <xdr:colOff>19050</xdr:colOff>
                    <xdr:row>23</xdr:row>
                    <xdr:rowOff>19050</xdr:rowOff>
                  </from>
                  <to>
                    <xdr:col>19</xdr:col>
                    <xdr:colOff>247650</xdr:colOff>
                    <xdr:row>23</xdr:row>
                    <xdr:rowOff>219075</xdr:rowOff>
                  </to>
                </anchor>
              </controlPr>
            </control>
          </mc:Choice>
        </mc:AlternateContent>
        <mc:AlternateContent xmlns:mc="http://schemas.openxmlformats.org/markup-compatibility/2006">
          <mc:Choice Requires="x14">
            <control shapeId="3109" r:id="rId39" name="Drop Down 37">
              <controlPr defaultSize="0" autoLine="0" autoPict="0">
                <anchor moveWithCells="1">
                  <from>
                    <xdr:col>14</xdr:col>
                    <xdr:colOff>19050</xdr:colOff>
                    <xdr:row>24</xdr:row>
                    <xdr:rowOff>19050</xdr:rowOff>
                  </from>
                  <to>
                    <xdr:col>19</xdr:col>
                    <xdr:colOff>247650</xdr:colOff>
                    <xdr:row>24</xdr:row>
                    <xdr:rowOff>219075</xdr:rowOff>
                  </to>
                </anchor>
              </controlPr>
            </control>
          </mc:Choice>
        </mc:AlternateContent>
        <mc:AlternateContent xmlns:mc="http://schemas.openxmlformats.org/markup-compatibility/2006">
          <mc:Choice Requires="x14">
            <control shapeId="3110" r:id="rId40" name="Drop Down 38">
              <controlPr defaultSize="0" autoLine="0" autoPict="0">
                <anchor moveWithCells="1">
                  <from>
                    <xdr:col>14</xdr:col>
                    <xdr:colOff>19050</xdr:colOff>
                    <xdr:row>25</xdr:row>
                    <xdr:rowOff>19050</xdr:rowOff>
                  </from>
                  <to>
                    <xdr:col>19</xdr:col>
                    <xdr:colOff>247650</xdr:colOff>
                    <xdr:row>25</xdr:row>
                    <xdr:rowOff>219075</xdr:rowOff>
                  </to>
                </anchor>
              </controlPr>
            </control>
          </mc:Choice>
        </mc:AlternateContent>
        <mc:AlternateContent xmlns:mc="http://schemas.openxmlformats.org/markup-compatibility/2006">
          <mc:Choice Requires="x14">
            <control shapeId="3111" r:id="rId41" name="Drop Down 39">
              <controlPr defaultSize="0" autoLine="0" autoPict="0">
                <anchor moveWithCells="1">
                  <from>
                    <xdr:col>14</xdr:col>
                    <xdr:colOff>19050</xdr:colOff>
                    <xdr:row>26</xdr:row>
                    <xdr:rowOff>19050</xdr:rowOff>
                  </from>
                  <to>
                    <xdr:col>19</xdr:col>
                    <xdr:colOff>247650</xdr:colOff>
                    <xdr:row>26</xdr:row>
                    <xdr:rowOff>219075</xdr:rowOff>
                  </to>
                </anchor>
              </controlPr>
            </control>
          </mc:Choice>
        </mc:AlternateContent>
        <mc:AlternateContent xmlns:mc="http://schemas.openxmlformats.org/markup-compatibility/2006">
          <mc:Choice Requires="x14">
            <control shapeId="3112" r:id="rId42" name="Drop Down 40">
              <controlPr defaultSize="0" autoLine="0" autoPict="0">
                <anchor moveWithCells="1">
                  <from>
                    <xdr:col>14</xdr:col>
                    <xdr:colOff>19050</xdr:colOff>
                    <xdr:row>27</xdr:row>
                    <xdr:rowOff>19050</xdr:rowOff>
                  </from>
                  <to>
                    <xdr:col>19</xdr:col>
                    <xdr:colOff>247650</xdr:colOff>
                    <xdr:row>27</xdr:row>
                    <xdr:rowOff>219075</xdr:rowOff>
                  </to>
                </anchor>
              </controlPr>
            </control>
          </mc:Choice>
        </mc:AlternateContent>
        <mc:AlternateContent xmlns:mc="http://schemas.openxmlformats.org/markup-compatibility/2006">
          <mc:Choice Requires="x14">
            <control shapeId="3113" r:id="rId43" name="Drop Down 41">
              <controlPr defaultSize="0" autoLine="0" autoPict="0">
                <anchor moveWithCells="1">
                  <from>
                    <xdr:col>14</xdr:col>
                    <xdr:colOff>19050</xdr:colOff>
                    <xdr:row>28</xdr:row>
                    <xdr:rowOff>19050</xdr:rowOff>
                  </from>
                  <to>
                    <xdr:col>19</xdr:col>
                    <xdr:colOff>247650</xdr:colOff>
                    <xdr:row>28</xdr:row>
                    <xdr:rowOff>219075</xdr:rowOff>
                  </to>
                </anchor>
              </controlPr>
            </control>
          </mc:Choice>
        </mc:AlternateContent>
        <mc:AlternateContent xmlns:mc="http://schemas.openxmlformats.org/markup-compatibility/2006">
          <mc:Choice Requires="x14">
            <control shapeId="3114" r:id="rId44" name="Drop Down 42">
              <controlPr defaultSize="0" autoLine="0" autoPict="0">
                <anchor moveWithCells="1">
                  <from>
                    <xdr:col>14</xdr:col>
                    <xdr:colOff>19050</xdr:colOff>
                    <xdr:row>29</xdr:row>
                    <xdr:rowOff>19050</xdr:rowOff>
                  </from>
                  <to>
                    <xdr:col>19</xdr:col>
                    <xdr:colOff>247650</xdr:colOff>
                    <xdr:row>29</xdr:row>
                    <xdr:rowOff>219075</xdr:rowOff>
                  </to>
                </anchor>
              </controlPr>
            </control>
          </mc:Choice>
        </mc:AlternateContent>
        <mc:AlternateContent xmlns:mc="http://schemas.openxmlformats.org/markup-compatibility/2006">
          <mc:Choice Requires="x14">
            <control shapeId="3116" r:id="rId45" name="Drop Down 44">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3117" r:id="rId46" name="Drop Down 45">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3118" r:id="rId47" name="Drop Down 46">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3119" r:id="rId48" name="Drop Down 47">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3120" r:id="rId49" name="Drop Down 48">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3121" r:id="rId50" name="Drop Down 49">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3122" r:id="rId51" name="Drop Down 50">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3123" r:id="rId52" name="Drop Down 51">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3124" r:id="rId53" name="Drop Down 52">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3125" r:id="rId54" name="Drop Down 53">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3126" r:id="rId55" name="Drop Down 54">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3127" r:id="rId56" name="Drop Down 55">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3128" r:id="rId57" name="Drop Down 56">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3129" r:id="rId58" name="Drop Down 57">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3130" r:id="rId59" name="Drop Down 58">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3131" r:id="rId60" name="Drop Down 59">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3132" r:id="rId61" name="Drop Down 60">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3133" r:id="rId62" name="Drop Down 61">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3134" r:id="rId63" name="Drop Down 62">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3163" r:id="rId64" name="Drop Down 91">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3164" r:id="rId65" name="Drop Down 92">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3165" r:id="rId66" name="Drop Down 93">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3167" r:id="rId67" name="Drop Down 95">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3168" r:id="rId68" name="Drop Down 96">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3169" r:id="rId69" name="Drop Down 97">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3171" r:id="rId70" name="Drop Down 99">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3172" r:id="rId71" name="Drop Down 100">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3173" r:id="rId72" name="Drop Down 101">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3175" r:id="rId73" name="Drop Down 103">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3176" r:id="rId74" name="Drop Down 104">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3177" r:id="rId75" name="Drop Down 10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3137" r:id="rId76" name="Drop Down 65">
              <controlPr defaultSize="0" autoLine="0" autoPict="0">
                <anchor moveWithCells="1" sizeWithCells="1">
                  <from>
                    <xdr:col>17</xdr:col>
                    <xdr:colOff>180975</xdr:colOff>
                    <xdr:row>35</xdr:row>
                    <xdr:rowOff>9525</xdr:rowOff>
                  </from>
                  <to>
                    <xdr:col>26</xdr:col>
                    <xdr:colOff>228600</xdr:colOff>
                    <xdr:row>35</xdr:row>
                    <xdr:rowOff>238125</xdr:rowOff>
                  </to>
                </anchor>
              </controlPr>
            </control>
          </mc:Choice>
        </mc:AlternateContent>
        <mc:AlternateContent xmlns:mc="http://schemas.openxmlformats.org/markup-compatibility/2006">
          <mc:Choice Requires="x14">
            <control shapeId="3157" r:id="rId77" name="Drop Down 85">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3158" r:id="rId78" name="Drop Down 86">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mc:AlternateContent xmlns:mc="http://schemas.openxmlformats.org/markup-compatibility/2006">
          <mc:Choice Requires="x14">
            <control shapeId="3178" r:id="rId79" name="Drop Down 106">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3179" r:id="rId80" name="Drop Down 107">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3180" r:id="rId81" name="Drop Down 108">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3181" r:id="rId82" name="Drop Down 109">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3182" r:id="rId83" name="Drop Down 110">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3183" r:id="rId84" name="Drop Down 111">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3184" r:id="rId85" name="Drop Down 112">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3185" r:id="rId86" name="Drop Down 113">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3186" r:id="rId87" name="Drop Down 114">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3187" r:id="rId88" name="Drop Down 115">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3188" r:id="rId89" name="Drop Down 116">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3189" r:id="rId90" name="Drop Down 117">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pageSetUpPr fitToPage="1"/>
  </sheetPr>
  <dimension ref="B1:AV150"/>
  <sheetViews>
    <sheetView showGridLines="0" zoomScaleNormal="100" zoomScaleSheetLayoutView="90" workbookViewId="0">
      <selection activeCell="AB11" sqref="AB11:AC11"/>
    </sheetView>
  </sheetViews>
  <sheetFormatPr defaultColWidth="9.28515625"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164</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IF(Data_ProjectStartDate&gt;=Var_EarliestProjectStartDate,TEXT(DATE(YEAR(Data_ProjectStartDate)+1,MONTH(Data_ProjectStartDate),DAY(Data_ProjectStartDate))," mmmm d, yyyy") &amp; " - " &amp; TEXT(DATE(YEAR(Data_ProjectStartDate)+2,MONTH(Data_ProjectStartDate),DAY(Data_ProjectStartDate)-1),"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ht="12.75" customHeight="1" x14ac:dyDescent="0.2">
      <c r="B8" s="10"/>
      <c r="C8" s="137"/>
      <c r="D8" s="137"/>
      <c r="E8" s="137"/>
      <c r="F8" s="137"/>
      <c r="G8" s="137"/>
      <c r="H8" s="137"/>
      <c r="I8" s="137"/>
      <c r="J8" s="137"/>
      <c r="K8" s="137"/>
      <c r="L8" s="137"/>
      <c r="M8" s="137"/>
      <c r="N8" s="137"/>
      <c r="O8" s="137"/>
      <c r="P8" s="137"/>
      <c r="Q8" s="137"/>
      <c r="R8" s="613" t="str">
        <f>CONCATENATE("Please note: Post-docs, as exempt employees, must be paid $",Salary_MinimumFLSAPostDoc_Annual_Y2," annually (or $",Salary_MinimumFLSAPostDoc_Academic_Y2,"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743">
        <f>'Budget Period 1'!F11:K11</f>
        <v>0</v>
      </c>
      <c r="G11" s="744"/>
      <c r="H11" s="744"/>
      <c r="I11" s="744"/>
      <c r="J11" s="744"/>
      <c r="K11" s="745"/>
      <c r="L11" s="740" t="str">
        <f>CHOOSE('Budget Period 1'!L11,"",'Drop-Down_Options'!$B$25,'Drop-Down_Options'!$B$26,'Drop-Down_Options'!$B$27,'Drop-Down_Options'!$B$28)</f>
        <v/>
      </c>
      <c r="M11" s="741"/>
      <c r="N11" s="742"/>
      <c r="O11" s="740" t="str">
        <f>CHOOSE('Budget Period 1'!O11,"",'Drop-Down_Options'!$B$35,'Drop-Down_Options'!$B$36,"Classified","LTE")</f>
        <v/>
      </c>
      <c r="P11" s="741"/>
      <c r="Q11" s="741"/>
      <c r="R11" s="741"/>
      <c r="S11" s="741"/>
      <c r="T11" s="742"/>
      <c r="U11" s="737">
        <f>'Budget Period 1'!U11*(1+IF(L11="PI",Data_SalaryInflationRatePI,Data_SalaryInflationRate))</f>
        <v>0</v>
      </c>
      <c r="V11" s="738"/>
      <c r="W11" s="738"/>
      <c r="X11" s="739"/>
      <c r="Y11" s="319">
        <v>1</v>
      </c>
      <c r="Z11" s="320"/>
      <c r="AA11" s="321" t="str">
        <f t="shared" ref="AA11:AA30" si="0">IF(AND(L11="Post Doc",OR(AND(O11="Academic",U11&lt;Salary_MinimumFLSAPostDoc_Academic_Y2),AND(O11="Annual",U11&lt;Salary_MinimumFLSAPostDoc_Annual_Y2))),1,"")</f>
        <v/>
      </c>
      <c r="AB11" s="627"/>
      <c r="AC11" s="628"/>
      <c r="AD11" s="623"/>
      <c r="AE11" s="624"/>
      <c r="AF11" s="624"/>
      <c r="AG11" s="621">
        <f t="shared" ref="AG11:AG30" si="1">AB11*AD11</f>
        <v>0</v>
      </c>
      <c r="AH11" s="622"/>
      <c r="AI11" s="602">
        <f>(IF(OR('Budget Period 1'!L11&lt;2,'Budget Period 1'!O11&lt;2),0,IF(OR('Budget Period 1'!O11=4,'Budget Period 1'!O11=5),U11*2080/12*AB11*AD11,(U11/(CHOOSE('Budget Period 1'!O11,0,9,12,0,0))*AB11*AD11))))</f>
        <v>0</v>
      </c>
      <c r="AJ11" s="603"/>
      <c r="AK11" s="603"/>
      <c r="AL11" s="604"/>
      <c r="AM11" s="596">
        <f>IF(OR('Budget Period 1'!L11&lt;2,'Budget Period 1'!O11&lt;2),0,IF('Budget Period 1'!L11=4,FringeRate_Y2_PostDoc,CHOOSE('Budget Period 1'!O11,0,FringeRate_Y2_Faculty,FringeRate_Y2_Faculty,FringeRate_Y2_Classified,FringeRate_Y2_LTE)))</f>
        <v>0</v>
      </c>
      <c r="AN11" s="597"/>
      <c r="AO11" s="635">
        <f>AI11*AM11</f>
        <v>0</v>
      </c>
      <c r="AP11" s="636"/>
      <c r="AQ11" s="602">
        <f>AI11+AO11</f>
        <v>0</v>
      </c>
      <c r="AR11" s="603"/>
      <c r="AS11" s="603"/>
      <c r="AT11" s="611"/>
      <c r="AU11" s="137"/>
      <c r="AV11" s="10"/>
    </row>
    <row r="12" spans="2:48" ht="18" customHeight="1" thickBot="1" x14ac:dyDescent="0.25">
      <c r="B12" s="10"/>
      <c r="C12" s="137"/>
      <c r="D12" s="137"/>
      <c r="E12" s="149" t="s">
        <v>92</v>
      </c>
      <c r="F12" s="722">
        <f>'Budget Period 1'!F12:K12</f>
        <v>0</v>
      </c>
      <c r="G12" s="723"/>
      <c r="H12" s="723"/>
      <c r="I12" s="723"/>
      <c r="J12" s="723"/>
      <c r="K12" s="724"/>
      <c r="L12" s="725" t="str">
        <f>CHOOSE('Budget Period 1'!L12,"",'Drop-Down_Options'!$B$25,'Drop-Down_Options'!$B$26,'Drop-Down_Options'!$B$27,'Drop-Down_Options'!$B$28)</f>
        <v/>
      </c>
      <c r="M12" s="726"/>
      <c r="N12" s="727"/>
      <c r="O12" s="725" t="str">
        <f>CHOOSE('Budget Period 1'!O12,"",'Drop-Down_Options'!$B$35,'Drop-Down_Options'!$B$36,"Classified","LTE")</f>
        <v/>
      </c>
      <c r="P12" s="726"/>
      <c r="Q12" s="726"/>
      <c r="R12" s="726"/>
      <c r="S12" s="726"/>
      <c r="T12" s="727"/>
      <c r="U12" s="719">
        <f>'Budget Period 1'!U12*(1+IF(L12="PI",Data_SalaryInflationRatePI,Data_SalaryInflationRate))</f>
        <v>0</v>
      </c>
      <c r="V12" s="720"/>
      <c r="W12" s="720"/>
      <c r="X12" s="721"/>
      <c r="Y12" s="322">
        <v>1</v>
      </c>
      <c r="Z12" s="323"/>
      <c r="AA12" s="321" t="str">
        <f t="shared" si="0"/>
        <v/>
      </c>
      <c r="AB12" s="434"/>
      <c r="AC12" s="436"/>
      <c r="AD12" s="625"/>
      <c r="AE12" s="626"/>
      <c r="AF12" s="626"/>
      <c r="AG12" s="535">
        <f t="shared" si="1"/>
        <v>0</v>
      </c>
      <c r="AH12" s="536"/>
      <c r="AI12" s="530">
        <f>(IF(OR('Budget Period 1'!L12&lt;2,'Budget Period 1'!O12&lt;2),0,IF(OR('Budget Period 1'!O12=4,'Budget Period 1'!O12=5),U12*2080/12*AB12*AD12,(U12/(CHOOSE('Budget Period 1'!O12,0,9,12,0,0))*AB12*AD12))))</f>
        <v>0</v>
      </c>
      <c r="AJ12" s="531"/>
      <c r="AK12" s="531"/>
      <c r="AL12" s="532"/>
      <c r="AM12" s="533">
        <f>IF(OR('Budget Period 1'!L12&lt;2,'Budget Period 1'!O12&lt;2),0,IF('Budget Period 1'!L12=4,FringeRate_Y2_PostDoc,CHOOSE('Budget Period 1'!O12,0,FringeRate_Y2_Faculty,FringeRate_Y2_Faculty,FringeRate_Y2_Classified,FringeRate_Y2_LTE)))</f>
        <v>0</v>
      </c>
      <c r="AN12" s="534"/>
      <c r="AO12" s="637">
        <f t="shared" ref="AO12:AO30" si="2">AI12*AM12</f>
        <v>0</v>
      </c>
      <c r="AP12" s="638"/>
      <c r="AQ12" s="530">
        <f t="shared" ref="AQ12:AQ30" si="3">AI12+AO12</f>
        <v>0</v>
      </c>
      <c r="AR12" s="531"/>
      <c r="AS12" s="531"/>
      <c r="AT12" s="612"/>
      <c r="AU12" s="137"/>
      <c r="AV12" s="10"/>
    </row>
    <row r="13" spans="2:48" ht="18" customHeight="1" thickBot="1" x14ac:dyDescent="0.25">
      <c r="B13" s="10"/>
      <c r="C13" s="137"/>
      <c r="D13" s="137"/>
      <c r="E13" s="149" t="s">
        <v>93</v>
      </c>
      <c r="F13" s="722">
        <f>'Budget Period 1'!F13:K13</f>
        <v>0</v>
      </c>
      <c r="G13" s="723"/>
      <c r="H13" s="723"/>
      <c r="I13" s="723"/>
      <c r="J13" s="723"/>
      <c r="K13" s="724"/>
      <c r="L13" s="725" t="str">
        <f>CHOOSE('Budget Period 1'!L13,"",'Drop-Down_Options'!$B$25,'Drop-Down_Options'!$B$26,'Drop-Down_Options'!$B$27,'Drop-Down_Options'!$B$28)</f>
        <v/>
      </c>
      <c r="M13" s="726"/>
      <c r="N13" s="727"/>
      <c r="O13" s="725" t="str">
        <f>CHOOSE('Budget Period 1'!O13,"",'Drop-Down_Options'!$B$35,'Drop-Down_Options'!$B$36,"Classified","LTE")</f>
        <v/>
      </c>
      <c r="P13" s="726"/>
      <c r="Q13" s="726"/>
      <c r="R13" s="726"/>
      <c r="S13" s="726"/>
      <c r="T13" s="727"/>
      <c r="U13" s="719">
        <f>'Budget Period 1'!U13*(1+IF(L13="PI",Data_SalaryInflationRatePI,Data_SalaryInflationRate))</f>
        <v>0</v>
      </c>
      <c r="V13" s="720"/>
      <c r="W13" s="720"/>
      <c r="X13" s="721"/>
      <c r="Y13" s="322">
        <v>1</v>
      </c>
      <c r="Z13" s="323"/>
      <c r="AA13" s="321" t="str">
        <f t="shared" si="0"/>
        <v/>
      </c>
      <c r="AB13" s="434"/>
      <c r="AC13" s="436"/>
      <c r="AD13" s="625"/>
      <c r="AE13" s="626"/>
      <c r="AF13" s="626"/>
      <c r="AG13" s="535">
        <f t="shared" si="1"/>
        <v>0</v>
      </c>
      <c r="AH13" s="536"/>
      <c r="AI13" s="530">
        <f>(IF(OR('Budget Period 1'!L13&lt;2,'Budget Period 1'!O13&lt;2),0,IF(OR('Budget Period 1'!O13=4,'Budget Period 1'!O13=5),U13*2080/12*AB13*AD13,(U13/(CHOOSE('Budget Period 1'!O13,0,9,12,0,0))*AB13*AD13))))</f>
        <v>0</v>
      </c>
      <c r="AJ13" s="531"/>
      <c r="AK13" s="531"/>
      <c r="AL13" s="532"/>
      <c r="AM13" s="533">
        <f>IF(OR('Budget Period 1'!L13&lt;2,'Budget Period 1'!O13&lt;2),0,IF('Budget Period 1'!L13=4,FringeRate_Y2_PostDoc,CHOOSE('Budget Period 1'!O13,0,FringeRate_Y2_Faculty,FringeRate_Y2_Faculty,FringeRate_Y2_Classified,FringeRate_Y2_LTE)))</f>
        <v>0</v>
      </c>
      <c r="AN13" s="534"/>
      <c r="AO13" s="637">
        <f t="shared" si="2"/>
        <v>0</v>
      </c>
      <c r="AP13" s="638"/>
      <c r="AQ13" s="530">
        <f t="shared" si="3"/>
        <v>0</v>
      </c>
      <c r="AR13" s="531"/>
      <c r="AS13" s="531"/>
      <c r="AT13" s="612"/>
      <c r="AU13" s="137"/>
      <c r="AV13" s="10"/>
    </row>
    <row r="14" spans="2:48" ht="18" customHeight="1" thickBot="1" x14ac:dyDescent="0.25">
      <c r="B14" s="10"/>
      <c r="C14" s="137"/>
      <c r="D14" s="137"/>
      <c r="E14" s="149" t="s">
        <v>94</v>
      </c>
      <c r="F14" s="722">
        <f>'Budget Period 1'!F14:K14</f>
        <v>0</v>
      </c>
      <c r="G14" s="723"/>
      <c r="H14" s="723"/>
      <c r="I14" s="723"/>
      <c r="J14" s="723"/>
      <c r="K14" s="724"/>
      <c r="L14" s="725" t="str">
        <f>CHOOSE('Budget Period 1'!L14,"",'Drop-Down_Options'!$B$25,'Drop-Down_Options'!$B$26,'Drop-Down_Options'!$B$27,'Drop-Down_Options'!$B$28)</f>
        <v/>
      </c>
      <c r="M14" s="726"/>
      <c r="N14" s="727"/>
      <c r="O14" s="725" t="str">
        <f>CHOOSE('Budget Period 1'!O14,"",'Drop-Down_Options'!$B$35,'Drop-Down_Options'!$B$36,"Classified","LTE")</f>
        <v/>
      </c>
      <c r="P14" s="726"/>
      <c r="Q14" s="726"/>
      <c r="R14" s="726"/>
      <c r="S14" s="726"/>
      <c r="T14" s="727"/>
      <c r="U14" s="719">
        <f>'Budget Period 1'!U14*(1+IF(L14="PI",Data_SalaryInflationRatePI,Data_SalaryInflationRate))</f>
        <v>0</v>
      </c>
      <c r="V14" s="720"/>
      <c r="W14" s="720"/>
      <c r="X14" s="721"/>
      <c r="Y14" s="322">
        <v>1</v>
      </c>
      <c r="Z14" s="323"/>
      <c r="AA14" s="321" t="str">
        <f t="shared" si="0"/>
        <v/>
      </c>
      <c r="AB14" s="434"/>
      <c r="AC14" s="436"/>
      <c r="AD14" s="625"/>
      <c r="AE14" s="626"/>
      <c r="AF14" s="626"/>
      <c r="AG14" s="535">
        <f t="shared" si="1"/>
        <v>0</v>
      </c>
      <c r="AH14" s="536"/>
      <c r="AI14" s="530">
        <f>(IF(OR('Budget Period 1'!L14&lt;2,'Budget Period 1'!O14&lt;2),0,IF(OR('Budget Period 1'!O14=4,'Budget Period 1'!O14=5),U14*2080/12*AB14*AD14,(U14/(CHOOSE('Budget Period 1'!O14,0,9,12,0,0))*AB14*AD14))))</f>
        <v>0</v>
      </c>
      <c r="AJ14" s="531"/>
      <c r="AK14" s="531"/>
      <c r="AL14" s="532"/>
      <c r="AM14" s="533">
        <f>IF(OR('Budget Period 1'!L14&lt;2,'Budget Period 1'!O14&lt;2),0,IF('Budget Period 1'!L14=4,FringeRate_Y2_PostDoc,CHOOSE('Budget Period 1'!O14,0,FringeRate_Y2_Faculty,FringeRate_Y2_Faculty,FringeRate_Y2_Classified,FringeRate_Y2_LTE)))</f>
        <v>0</v>
      </c>
      <c r="AN14" s="534"/>
      <c r="AO14" s="637">
        <f t="shared" si="2"/>
        <v>0</v>
      </c>
      <c r="AP14" s="638"/>
      <c r="AQ14" s="530">
        <f t="shared" si="3"/>
        <v>0</v>
      </c>
      <c r="AR14" s="531"/>
      <c r="AS14" s="531"/>
      <c r="AT14" s="612"/>
      <c r="AU14" s="137"/>
      <c r="AV14" s="10"/>
    </row>
    <row r="15" spans="2:48" ht="18" customHeight="1" thickBot="1" x14ac:dyDescent="0.25">
      <c r="B15" s="10"/>
      <c r="C15" s="137"/>
      <c r="D15" s="137"/>
      <c r="E15" s="149" t="s">
        <v>95</v>
      </c>
      <c r="F15" s="722">
        <f>'Budget Period 1'!F15:K15</f>
        <v>0</v>
      </c>
      <c r="G15" s="723"/>
      <c r="H15" s="723"/>
      <c r="I15" s="723"/>
      <c r="J15" s="723"/>
      <c r="K15" s="724"/>
      <c r="L15" s="725" t="str">
        <f>CHOOSE('Budget Period 1'!L15,"",'Drop-Down_Options'!$B$25,'Drop-Down_Options'!$B$26,'Drop-Down_Options'!$B$27,'Drop-Down_Options'!$B$28)</f>
        <v/>
      </c>
      <c r="M15" s="726"/>
      <c r="N15" s="727"/>
      <c r="O15" s="725" t="str">
        <f>CHOOSE('Budget Period 1'!O15,"",'Drop-Down_Options'!$B$35,'Drop-Down_Options'!$B$36,"Classified","LTE")</f>
        <v/>
      </c>
      <c r="P15" s="726"/>
      <c r="Q15" s="726"/>
      <c r="R15" s="726"/>
      <c r="S15" s="726"/>
      <c r="T15" s="727"/>
      <c r="U15" s="719">
        <f>'Budget Period 1'!U15*(1+IF(L15="PI",Data_SalaryInflationRatePI,Data_SalaryInflationRate))</f>
        <v>0</v>
      </c>
      <c r="V15" s="720"/>
      <c r="W15" s="720"/>
      <c r="X15" s="721"/>
      <c r="Y15" s="322">
        <v>1</v>
      </c>
      <c r="Z15" s="323"/>
      <c r="AA15" s="321" t="str">
        <f t="shared" si="0"/>
        <v/>
      </c>
      <c r="AB15" s="434"/>
      <c r="AC15" s="436"/>
      <c r="AD15" s="625"/>
      <c r="AE15" s="626"/>
      <c r="AF15" s="626"/>
      <c r="AG15" s="535">
        <f t="shared" si="1"/>
        <v>0</v>
      </c>
      <c r="AH15" s="536"/>
      <c r="AI15" s="530">
        <f>(IF(OR('Budget Period 1'!L15&lt;2,'Budget Period 1'!O15&lt;2),0,IF(OR('Budget Period 1'!O15=4,'Budget Period 1'!O15=5),U15*2080/12*AB15*AD15,(U15/(CHOOSE('Budget Period 1'!O15,0,9,12,0,0))*AB15*AD15))))</f>
        <v>0</v>
      </c>
      <c r="AJ15" s="531"/>
      <c r="AK15" s="531"/>
      <c r="AL15" s="532"/>
      <c r="AM15" s="533">
        <f>IF(OR('Budget Period 1'!L15&lt;2,'Budget Period 1'!O15&lt;2),0,IF('Budget Period 1'!L15=4,FringeRate_Y2_PostDoc,CHOOSE('Budget Period 1'!O15,0,FringeRate_Y2_Faculty,FringeRate_Y2_Faculty,FringeRate_Y2_Classified,FringeRate_Y2_LTE)))</f>
        <v>0</v>
      </c>
      <c r="AN15" s="534"/>
      <c r="AO15" s="637">
        <f t="shared" si="2"/>
        <v>0</v>
      </c>
      <c r="AP15" s="638"/>
      <c r="AQ15" s="530">
        <f t="shared" si="3"/>
        <v>0</v>
      </c>
      <c r="AR15" s="531"/>
      <c r="AS15" s="531"/>
      <c r="AT15" s="612"/>
      <c r="AU15" s="137"/>
      <c r="AV15" s="10"/>
    </row>
    <row r="16" spans="2:48" ht="18" customHeight="1" thickBot="1" x14ac:dyDescent="0.25">
      <c r="B16" s="10"/>
      <c r="C16" s="137"/>
      <c r="D16" s="137"/>
      <c r="E16" s="149" t="s">
        <v>96</v>
      </c>
      <c r="F16" s="722">
        <f>'Budget Period 1'!F16:K16</f>
        <v>0</v>
      </c>
      <c r="G16" s="723"/>
      <c r="H16" s="723"/>
      <c r="I16" s="723"/>
      <c r="J16" s="723"/>
      <c r="K16" s="724"/>
      <c r="L16" s="725" t="str">
        <f>CHOOSE('Budget Period 1'!L16,"",'Drop-Down_Options'!$B$25,'Drop-Down_Options'!$B$26,'Drop-Down_Options'!$B$27,'Drop-Down_Options'!$B$28)</f>
        <v/>
      </c>
      <c r="M16" s="726"/>
      <c r="N16" s="727"/>
      <c r="O16" s="725" t="str">
        <f>CHOOSE('Budget Period 1'!O16,"",'Drop-Down_Options'!$B$35,'Drop-Down_Options'!$B$36,"Classified","LTE")</f>
        <v/>
      </c>
      <c r="P16" s="726"/>
      <c r="Q16" s="726"/>
      <c r="R16" s="726"/>
      <c r="S16" s="726"/>
      <c r="T16" s="727"/>
      <c r="U16" s="719">
        <f>'Budget Period 1'!U16*(1+IF(L16="PI",Data_SalaryInflationRatePI,Data_SalaryInflationRate))</f>
        <v>0</v>
      </c>
      <c r="V16" s="720"/>
      <c r="W16" s="720"/>
      <c r="X16" s="721"/>
      <c r="Y16" s="322">
        <v>1</v>
      </c>
      <c r="Z16" s="323"/>
      <c r="AA16" s="321" t="str">
        <f t="shared" si="0"/>
        <v/>
      </c>
      <c r="AB16" s="434"/>
      <c r="AC16" s="436"/>
      <c r="AD16" s="625"/>
      <c r="AE16" s="626"/>
      <c r="AF16" s="626"/>
      <c r="AG16" s="535">
        <f t="shared" si="1"/>
        <v>0</v>
      </c>
      <c r="AH16" s="536"/>
      <c r="AI16" s="530">
        <f>(IF(OR('Budget Period 1'!L16&lt;2,'Budget Period 1'!O16&lt;2),0,IF(OR('Budget Period 1'!O16=4,'Budget Period 1'!O16=5),U16*2080/12*AB16*AD16,(U16/(CHOOSE('Budget Period 1'!O16,0,9,12,0,0))*AB16*AD16))))</f>
        <v>0</v>
      </c>
      <c r="AJ16" s="531"/>
      <c r="AK16" s="531"/>
      <c r="AL16" s="532"/>
      <c r="AM16" s="533">
        <f>IF(OR('Budget Period 1'!L16&lt;2,'Budget Period 1'!O16&lt;2),0,IF('Budget Period 1'!L16=4,FringeRate_Y2_PostDoc,CHOOSE('Budget Period 1'!O16,0,FringeRate_Y2_Faculty,FringeRate_Y2_Faculty,FringeRate_Y2_Classified,FringeRate_Y2_LTE)))</f>
        <v>0</v>
      </c>
      <c r="AN16" s="534"/>
      <c r="AO16" s="637">
        <f t="shared" si="2"/>
        <v>0</v>
      </c>
      <c r="AP16" s="638"/>
      <c r="AQ16" s="530">
        <f t="shared" si="3"/>
        <v>0</v>
      </c>
      <c r="AR16" s="531"/>
      <c r="AS16" s="531"/>
      <c r="AT16" s="612"/>
      <c r="AU16" s="137"/>
      <c r="AV16" s="10"/>
    </row>
    <row r="17" spans="2:48" ht="18" customHeight="1" thickBot="1" x14ac:dyDescent="0.25">
      <c r="B17" s="10"/>
      <c r="C17" s="137"/>
      <c r="D17" s="137"/>
      <c r="E17" s="149" t="s">
        <v>97</v>
      </c>
      <c r="F17" s="722">
        <f>'Budget Period 1'!F17:K17</f>
        <v>0</v>
      </c>
      <c r="G17" s="723"/>
      <c r="H17" s="723"/>
      <c r="I17" s="723"/>
      <c r="J17" s="723"/>
      <c r="K17" s="724"/>
      <c r="L17" s="725" t="str">
        <f>CHOOSE('Budget Period 1'!L17,"",'Drop-Down_Options'!$B$25,'Drop-Down_Options'!$B$26,'Drop-Down_Options'!$B$27,'Drop-Down_Options'!$B$28)</f>
        <v/>
      </c>
      <c r="M17" s="726"/>
      <c r="N17" s="727"/>
      <c r="O17" s="725" t="str">
        <f>CHOOSE('Budget Period 1'!O17,"",'Drop-Down_Options'!$B$35,'Drop-Down_Options'!$B$36,"Classified","LTE")</f>
        <v/>
      </c>
      <c r="P17" s="726"/>
      <c r="Q17" s="726"/>
      <c r="R17" s="726"/>
      <c r="S17" s="726"/>
      <c r="T17" s="727"/>
      <c r="U17" s="719">
        <f>'Budget Period 1'!U17*(1+IF(L17="PI",Data_SalaryInflationRatePI,Data_SalaryInflationRate))</f>
        <v>0</v>
      </c>
      <c r="V17" s="720"/>
      <c r="W17" s="720"/>
      <c r="X17" s="721"/>
      <c r="Y17" s="322">
        <v>1</v>
      </c>
      <c r="Z17" s="323"/>
      <c r="AA17" s="321" t="str">
        <f t="shared" si="0"/>
        <v/>
      </c>
      <c r="AB17" s="434"/>
      <c r="AC17" s="436"/>
      <c r="AD17" s="625"/>
      <c r="AE17" s="626"/>
      <c r="AF17" s="626"/>
      <c r="AG17" s="535">
        <f t="shared" si="1"/>
        <v>0</v>
      </c>
      <c r="AH17" s="536"/>
      <c r="AI17" s="530">
        <f>(IF(OR('Budget Period 1'!L17&lt;2,'Budget Period 1'!O17&lt;2),0,IF(OR('Budget Period 1'!O17=4,'Budget Period 1'!O17=5),U17*2080/12*AB17*AD17,(U17/(CHOOSE('Budget Period 1'!O17,0,9,12,0,0))*AB17*AD17))))</f>
        <v>0</v>
      </c>
      <c r="AJ17" s="531"/>
      <c r="AK17" s="531"/>
      <c r="AL17" s="532"/>
      <c r="AM17" s="533">
        <f>IF(OR('Budget Period 1'!L17&lt;2,'Budget Period 1'!O17&lt;2),0,IF('Budget Period 1'!L17=4,FringeRate_Y2_PostDoc,CHOOSE('Budget Period 1'!O17,0,FringeRate_Y2_Faculty,FringeRate_Y2_Faculty,FringeRate_Y2_Classified,FringeRate_Y2_LTE)))</f>
        <v>0</v>
      </c>
      <c r="AN17" s="534"/>
      <c r="AO17" s="637">
        <f t="shared" si="2"/>
        <v>0</v>
      </c>
      <c r="AP17" s="638"/>
      <c r="AQ17" s="530">
        <f t="shared" si="3"/>
        <v>0</v>
      </c>
      <c r="AR17" s="531"/>
      <c r="AS17" s="531"/>
      <c r="AT17" s="612"/>
      <c r="AU17" s="137"/>
      <c r="AV17" s="10"/>
    </row>
    <row r="18" spans="2:48" ht="18" customHeight="1" thickBot="1" x14ac:dyDescent="0.25">
      <c r="B18" s="10"/>
      <c r="C18" s="137"/>
      <c r="D18" s="137"/>
      <c r="E18" s="149" t="s">
        <v>98</v>
      </c>
      <c r="F18" s="722">
        <f>'Budget Period 1'!F18:K18</f>
        <v>0</v>
      </c>
      <c r="G18" s="723"/>
      <c r="H18" s="723"/>
      <c r="I18" s="723"/>
      <c r="J18" s="723"/>
      <c r="K18" s="724"/>
      <c r="L18" s="725" t="str">
        <f>CHOOSE('Budget Period 1'!L18,"",'Drop-Down_Options'!$B$25,'Drop-Down_Options'!$B$26,'Drop-Down_Options'!$B$27,'Drop-Down_Options'!$B$28)</f>
        <v/>
      </c>
      <c r="M18" s="726"/>
      <c r="N18" s="727"/>
      <c r="O18" s="725" t="str">
        <f>CHOOSE('Budget Period 1'!O18,"",'Drop-Down_Options'!$B$35,'Drop-Down_Options'!$B$36,"Classified","LTE")</f>
        <v/>
      </c>
      <c r="P18" s="726"/>
      <c r="Q18" s="726"/>
      <c r="R18" s="726"/>
      <c r="S18" s="726"/>
      <c r="T18" s="727"/>
      <c r="U18" s="719">
        <f>'Budget Period 1'!U18*(1+IF(L18="PI",Data_SalaryInflationRatePI,Data_SalaryInflationRate))</f>
        <v>0</v>
      </c>
      <c r="V18" s="720"/>
      <c r="W18" s="720"/>
      <c r="X18" s="721"/>
      <c r="Y18" s="322">
        <v>1</v>
      </c>
      <c r="Z18" s="323"/>
      <c r="AA18" s="321" t="str">
        <f t="shared" si="0"/>
        <v/>
      </c>
      <c r="AB18" s="434"/>
      <c r="AC18" s="436"/>
      <c r="AD18" s="625"/>
      <c r="AE18" s="626"/>
      <c r="AF18" s="626"/>
      <c r="AG18" s="535">
        <f t="shared" si="1"/>
        <v>0</v>
      </c>
      <c r="AH18" s="536"/>
      <c r="AI18" s="530">
        <f>(IF(OR('Budget Period 1'!L18&lt;2,'Budget Period 1'!O18&lt;2),0,IF(OR('Budget Period 1'!O18=4,'Budget Period 1'!O18=5),U18*2080/12*AB18*AD18,(U18/(CHOOSE('Budget Period 1'!O18,0,9,12,0,0))*AB18*AD18))))</f>
        <v>0</v>
      </c>
      <c r="AJ18" s="531"/>
      <c r="AK18" s="531"/>
      <c r="AL18" s="532"/>
      <c r="AM18" s="533">
        <f>IF(OR('Budget Period 1'!L18&lt;2,'Budget Period 1'!O18&lt;2),0,IF('Budget Period 1'!L18=4,FringeRate_Y2_PostDoc,CHOOSE('Budget Period 1'!O18,0,FringeRate_Y2_Faculty,FringeRate_Y2_Faculty,FringeRate_Y2_Classified,FringeRate_Y2_LTE)))</f>
        <v>0</v>
      </c>
      <c r="AN18" s="534"/>
      <c r="AO18" s="637">
        <f t="shared" si="2"/>
        <v>0</v>
      </c>
      <c r="AP18" s="638"/>
      <c r="AQ18" s="530">
        <f t="shared" si="3"/>
        <v>0</v>
      </c>
      <c r="AR18" s="531"/>
      <c r="AS18" s="531"/>
      <c r="AT18" s="612"/>
      <c r="AU18" s="137"/>
      <c r="AV18" s="10"/>
    </row>
    <row r="19" spans="2:48" ht="18" customHeight="1" thickBot="1" x14ac:dyDescent="0.25">
      <c r="B19" s="10"/>
      <c r="C19" s="137"/>
      <c r="D19" s="137"/>
      <c r="E19" s="149" t="s">
        <v>99</v>
      </c>
      <c r="F19" s="722">
        <f>'Budget Period 1'!F19:K19</f>
        <v>0</v>
      </c>
      <c r="G19" s="723"/>
      <c r="H19" s="723"/>
      <c r="I19" s="723"/>
      <c r="J19" s="723"/>
      <c r="K19" s="724"/>
      <c r="L19" s="725" t="str">
        <f>CHOOSE('Budget Period 1'!L19,"",'Drop-Down_Options'!$B$25,'Drop-Down_Options'!$B$26,'Drop-Down_Options'!$B$27,'Drop-Down_Options'!$B$28)</f>
        <v/>
      </c>
      <c r="M19" s="726"/>
      <c r="N19" s="727"/>
      <c r="O19" s="725" t="str">
        <f>CHOOSE('Budget Period 1'!O19,"",'Drop-Down_Options'!$B$35,'Drop-Down_Options'!$B$36,"Classified","LTE")</f>
        <v/>
      </c>
      <c r="P19" s="726"/>
      <c r="Q19" s="726"/>
      <c r="R19" s="726"/>
      <c r="S19" s="726"/>
      <c r="T19" s="727"/>
      <c r="U19" s="719">
        <f>'Budget Period 1'!U19*(1+IF(L19="PI",Data_SalaryInflationRatePI,Data_SalaryInflationRate))</f>
        <v>0</v>
      </c>
      <c r="V19" s="720"/>
      <c r="W19" s="720"/>
      <c r="X19" s="721"/>
      <c r="Y19" s="322">
        <v>1</v>
      </c>
      <c r="Z19" s="323"/>
      <c r="AA19" s="321" t="str">
        <f t="shared" si="0"/>
        <v/>
      </c>
      <c r="AB19" s="434"/>
      <c r="AC19" s="436"/>
      <c r="AD19" s="625"/>
      <c r="AE19" s="626"/>
      <c r="AF19" s="626"/>
      <c r="AG19" s="535">
        <f t="shared" si="1"/>
        <v>0</v>
      </c>
      <c r="AH19" s="536"/>
      <c r="AI19" s="530">
        <f>(IF(OR('Budget Period 1'!L19&lt;2,'Budget Period 1'!O19&lt;2),0,IF(OR('Budget Period 1'!O19=4,'Budget Period 1'!O19=5),U19*2080/12*AB19*AD19,(U19/(CHOOSE('Budget Period 1'!O19,0,9,12,0,0))*AB19*AD19))))</f>
        <v>0</v>
      </c>
      <c r="AJ19" s="531"/>
      <c r="AK19" s="531"/>
      <c r="AL19" s="532"/>
      <c r="AM19" s="533">
        <f>IF(OR('Budget Period 1'!L19&lt;2,'Budget Period 1'!O19&lt;2),0,IF('Budget Period 1'!L19=4,FringeRate_Y2_PostDoc,CHOOSE('Budget Period 1'!O19,0,FringeRate_Y2_Faculty,FringeRate_Y2_Faculty,FringeRate_Y2_Classified,FringeRate_Y2_LTE)))</f>
        <v>0</v>
      </c>
      <c r="AN19" s="534"/>
      <c r="AO19" s="637">
        <f t="shared" si="2"/>
        <v>0</v>
      </c>
      <c r="AP19" s="638"/>
      <c r="AQ19" s="530">
        <f t="shared" si="3"/>
        <v>0</v>
      </c>
      <c r="AR19" s="531"/>
      <c r="AS19" s="531"/>
      <c r="AT19" s="612"/>
      <c r="AU19" s="137"/>
      <c r="AV19" s="10"/>
    </row>
    <row r="20" spans="2:48" ht="18" customHeight="1" thickBot="1" x14ac:dyDescent="0.25">
      <c r="B20" s="10"/>
      <c r="C20" s="137"/>
      <c r="D20" s="137"/>
      <c r="E20" s="149" t="s">
        <v>141</v>
      </c>
      <c r="F20" s="722">
        <f>'Budget Period 1'!F20:K20</f>
        <v>0</v>
      </c>
      <c r="G20" s="723"/>
      <c r="H20" s="723"/>
      <c r="I20" s="723"/>
      <c r="J20" s="723"/>
      <c r="K20" s="724"/>
      <c r="L20" s="725" t="str">
        <f>CHOOSE('Budget Period 1'!L20,"",'Drop-Down_Options'!$B$25,'Drop-Down_Options'!$B$26,'Drop-Down_Options'!$B$27,'Drop-Down_Options'!$B$28)</f>
        <v/>
      </c>
      <c r="M20" s="726"/>
      <c r="N20" s="727"/>
      <c r="O20" s="725" t="str">
        <f>CHOOSE('Budget Period 1'!O20,"",'Drop-Down_Options'!$B$35,'Drop-Down_Options'!$B$36,"Classified","LTE")</f>
        <v/>
      </c>
      <c r="P20" s="726"/>
      <c r="Q20" s="726"/>
      <c r="R20" s="726"/>
      <c r="S20" s="726"/>
      <c r="T20" s="727"/>
      <c r="U20" s="719">
        <f>'Budget Period 1'!U20*(1+IF(L20="PI",Data_SalaryInflationRatePI,Data_SalaryInflationRate))</f>
        <v>0</v>
      </c>
      <c r="V20" s="720"/>
      <c r="W20" s="720"/>
      <c r="X20" s="721"/>
      <c r="Y20" s="322">
        <v>1</v>
      </c>
      <c r="Z20" s="323"/>
      <c r="AA20" s="321" t="str">
        <f t="shared" si="0"/>
        <v/>
      </c>
      <c r="AB20" s="434"/>
      <c r="AC20" s="436"/>
      <c r="AD20" s="625"/>
      <c r="AE20" s="626"/>
      <c r="AF20" s="626"/>
      <c r="AG20" s="535">
        <f t="shared" si="1"/>
        <v>0</v>
      </c>
      <c r="AH20" s="536"/>
      <c r="AI20" s="530">
        <f>(IF(OR('Budget Period 1'!L20&lt;2,'Budget Period 1'!O20&lt;2),0,IF(OR('Budget Period 1'!O20=4,'Budget Period 1'!O20=5),U20*2080/12*AB20*AD20,(U20/(CHOOSE('Budget Period 1'!O20,0,9,12,0,0))*AB20*AD20))))</f>
        <v>0</v>
      </c>
      <c r="AJ20" s="531"/>
      <c r="AK20" s="531"/>
      <c r="AL20" s="532"/>
      <c r="AM20" s="533">
        <f>IF(OR('Budget Period 1'!L20&lt;2,'Budget Period 1'!O20&lt;2),0,IF('Budget Period 1'!L20=4,FringeRate_Y2_PostDoc,CHOOSE('Budget Period 1'!O20,0,FringeRate_Y2_Faculty,FringeRate_Y2_Faculty,FringeRate_Y2_Classified,FringeRate_Y2_LTE)))</f>
        <v>0</v>
      </c>
      <c r="AN20" s="534"/>
      <c r="AO20" s="637">
        <f t="shared" si="2"/>
        <v>0</v>
      </c>
      <c r="AP20" s="638"/>
      <c r="AQ20" s="530">
        <f t="shared" si="3"/>
        <v>0</v>
      </c>
      <c r="AR20" s="531"/>
      <c r="AS20" s="531"/>
      <c r="AT20" s="612"/>
      <c r="AU20" s="137"/>
      <c r="AV20" s="10"/>
    </row>
    <row r="21" spans="2:48" ht="18" customHeight="1" thickBot="1" x14ac:dyDescent="0.25">
      <c r="B21" s="10"/>
      <c r="C21" s="137"/>
      <c r="D21" s="137"/>
      <c r="E21" s="149" t="s">
        <v>100</v>
      </c>
      <c r="F21" s="722">
        <f>'Budget Period 1'!F21:K21</f>
        <v>0</v>
      </c>
      <c r="G21" s="723"/>
      <c r="H21" s="723"/>
      <c r="I21" s="723"/>
      <c r="J21" s="723"/>
      <c r="K21" s="724"/>
      <c r="L21" s="725" t="str">
        <f>CHOOSE('Budget Period 1'!L21,"",'Drop-Down_Options'!$B$25,'Drop-Down_Options'!$B$26,'Drop-Down_Options'!$B$27,'Drop-Down_Options'!$B$28)</f>
        <v/>
      </c>
      <c r="M21" s="726"/>
      <c r="N21" s="727"/>
      <c r="O21" s="725" t="str">
        <f>CHOOSE('Budget Period 1'!O21,"",'Drop-Down_Options'!$B$35,'Drop-Down_Options'!$B$36,"Classified","LTE")</f>
        <v/>
      </c>
      <c r="P21" s="726"/>
      <c r="Q21" s="726"/>
      <c r="R21" s="726"/>
      <c r="S21" s="726"/>
      <c r="T21" s="727"/>
      <c r="U21" s="719">
        <f>'Budget Period 1'!U21*(1+IF(L21="PI",Data_SalaryInflationRatePI,Data_SalaryInflationRate))</f>
        <v>0</v>
      </c>
      <c r="V21" s="720"/>
      <c r="W21" s="720"/>
      <c r="X21" s="721"/>
      <c r="Y21" s="322">
        <v>1</v>
      </c>
      <c r="Z21" s="323"/>
      <c r="AA21" s="321" t="str">
        <f t="shared" si="0"/>
        <v/>
      </c>
      <c r="AB21" s="434"/>
      <c r="AC21" s="436"/>
      <c r="AD21" s="625"/>
      <c r="AE21" s="626"/>
      <c r="AF21" s="626"/>
      <c r="AG21" s="535">
        <f t="shared" si="1"/>
        <v>0</v>
      </c>
      <c r="AH21" s="536"/>
      <c r="AI21" s="530">
        <f>(IF(OR('Budget Period 1'!L21&lt;2,'Budget Period 1'!O21&lt;2),0,IF(OR('Budget Period 1'!O21=4,'Budget Period 1'!O21=5),U21*2080/12*AB21*AD21,(U21/(CHOOSE('Budget Period 1'!O21,0,9,12,0,0))*AB21*AD21))))</f>
        <v>0</v>
      </c>
      <c r="AJ21" s="531"/>
      <c r="AK21" s="531"/>
      <c r="AL21" s="532"/>
      <c r="AM21" s="533">
        <f>IF(OR('Budget Period 1'!L21&lt;2,'Budget Period 1'!O21&lt;2),0,IF('Budget Period 1'!L21=4,FringeRate_Y2_PostDoc,CHOOSE('Budget Period 1'!O21,0,FringeRate_Y2_Faculty,FringeRate_Y2_Faculty,FringeRate_Y2_Classified,FringeRate_Y2_LTE)))</f>
        <v>0</v>
      </c>
      <c r="AN21" s="534"/>
      <c r="AO21" s="637">
        <f t="shared" si="2"/>
        <v>0</v>
      </c>
      <c r="AP21" s="638"/>
      <c r="AQ21" s="530">
        <f t="shared" si="3"/>
        <v>0</v>
      </c>
      <c r="AR21" s="531"/>
      <c r="AS21" s="531"/>
      <c r="AT21" s="612"/>
      <c r="AU21" s="137"/>
      <c r="AV21" s="10"/>
    </row>
    <row r="22" spans="2:48" ht="18" customHeight="1" thickBot="1" x14ac:dyDescent="0.25">
      <c r="B22" s="10"/>
      <c r="C22" s="137"/>
      <c r="D22" s="137"/>
      <c r="E22" s="149" t="s">
        <v>101</v>
      </c>
      <c r="F22" s="722">
        <f>'Budget Period 1'!F22:K22</f>
        <v>0</v>
      </c>
      <c r="G22" s="723"/>
      <c r="H22" s="723"/>
      <c r="I22" s="723"/>
      <c r="J22" s="723"/>
      <c r="K22" s="724"/>
      <c r="L22" s="725" t="str">
        <f>CHOOSE('Budget Period 1'!L22,"",'Drop-Down_Options'!$B$25,'Drop-Down_Options'!$B$26,'Drop-Down_Options'!$B$27,'Drop-Down_Options'!$B$28)</f>
        <v/>
      </c>
      <c r="M22" s="726"/>
      <c r="N22" s="727"/>
      <c r="O22" s="725" t="str">
        <f>CHOOSE('Budget Period 1'!O22,"",'Drop-Down_Options'!$B$35,'Drop-Down_Options'!$B$36,"Classified","LTE")</f>
        <v/>
      </c>
      <c r="P22" s="726"/>
      <c r="Q22" s="726"/>
      <c r="R22" s="726"/>
      <c r="S22" s="726"/>
      <c r="T22" s="727"/>
      <c r="U22" s="719">
        <f>'Budget Period 1'!U22*(1+IF(L22="PI",Data_SalaryInflationRatePI,Data_SalaryInflationRate))</f>
        <v>0</v>
      </c>
      <c r="V22" s="720"/>
      <c r="W22" s="720"/>
      <c r="X22" s="721"/>
      <c r="Y22" s="322">
        <v>1</v>
      </c>
      <c r="Z22" s="323"/>
      <c r="AA22" s="321" t="str">
        <f t="shared" si="0"/>
        <v/>
      </c>
      <c r="AB22" s="434"/>
      <c r="AC22" s="436"/>
      <c r="AD22" s="625"/>
      <c r="AE22" s="626"/>
      <c r="AF22" s="626"/>
      <c r="AG22" s="535">
        <f t="shared" si="1"/>
        <v>0</v>
      </c>
      <c r="AH22" s="536"/>
      <c r="AI22" s="530">
        <f>(IF(OR('Budget Period 1'!L22&lt;2,'Budget Period 1'!O22&lt;2),0,IF(OR('Budget Period 1'!O22=4,'Budget Period 1'!O22=5),U22*2080/12*AB22*AD22,(U22/(CHOOSE('Budget Period 1'!O22,0,9,12,0,0))*AB22*AD22))))</f>
        <v>0</v>
      </c>
      <c r="AJ22" s="531"/>
      <c r="AK22" s="531"/>
      <c r="AL22" s="532"/>
      <c r="AM22" s="533">
        <f>IF(OR('Budget Period 1'!L22&lt;2,'Budget Period 1'!O22&lt;2),0,IF('Budget Period 1'!L22=4,FringeRate_Y2_PostDoc,CHOOSE('Budget Period 1'!O22,0,FringeRate_Y2_Faculty,FringeRate_Y2_Faculty,FringeRate_Y2_Classified,FringeRate_Y2_LTE)))</f>
        <v>0</v>
      </c>
      <c r="AN22" s="534"/>
      <c r="AO22" s="637">
        <f t="shared" si="2"/>
        <v>0</v>
      </c>
      <c r="AP22" s="638"/>
      <c r="AQ22" s="530">
        <f t="shared" si="3"/>
        <v>0</v>
      </c>
      <c r="AR22" s="531"/>
      <c r="AS22" s="531"/>
      <c r="AT22" s="612"/>
      <c r="AU22" s="137"/>
      <c r="AV22" s="10"/>
    </row>
    <row r="23" spans="2:48" ht="18" customHeight="1" thickBot="1" x14ac:dyDescent="0.25">
      <c r="B23" s="10"/>
      <c r="C23" s="137"/>
      <c r="D23" s="137"/>
      <c r="E23" s="149" t="s">
        <v>102</v>
      </c>
      <c r="F23" s="722">
        <f>'Budget Period 1'!F23:K23</f>
        <v>0</v>
      </c>
      <c r="G23" s="723"/>
      <c r="H23" s="723"/>
      <c r="I23" s="723"/>
      <c r="J23" s="723"/>
      <c r="K23" s="724"/>
      <c r="L23" s="725" t="str">
        <f>CHOOSE('Budget Period 1'!L23,"",'Drop-Down_Options'!$B$25,'Drop-Down_Options'!$B$26,'Drop-Down_Options'!$B$27,'Drop-Down_Options'!$B$28)</f>
        <v/>
      </c>
      <c r="M23" s="726"/>
      <c r="N23" s="727"/>
      <c r="O23" s="725" t="str">
        <f>CHOOSE('Budget Period 1'!O23,"",'Drop-Down_Options'!$B$35,'Drop-Down_Options'!$B$36,"Classified","LTE")</f>
        <v/>
      </c>
      <c r="P23" s="726"/>
      <c r="Q23" s="726"/>
      <c r="R23" s="726"/>
      <c r="S23" s="726"/>
      <c r="T23" s="727"/>
      <c r="U23" s="719">
        <f>'Budget Period 1'!U23*(1+IF(L23="PI",Data_SalaryInflationRatePI,Data_SalaryInflationRate))</f>
        <v>0</v>
      </c>
      <c r="V23" s="720"/>
      <c r="W23" s="720"/>
      <c r="X23" s="721"/>
      <c r="Y23" s="322">
        <v>1</v>
      </c>
      <c r="Z23" s="323"/>
      <c r="AA23" s="321" t="str">
        <f t="shared" si="0"/>
        <v/>
      </c>
      <c r="AB23" s="434"/>
      <c r="AC23" s="436"/>
      <c r="AD23" s="625"/>
      <c r="AE23" s="626"/>
      <c r="AF23" s="626"/>
      <c r="AG23" s="535">
        <f t="shared" si="1"/>
        <v>0</v>
      </c>
      <c r="AH23" s="536"/>
      <c r="AI23" s="530">
        <f>(IF(OR('Budget Period 1'!L23&lt;2,'Budget Period 1'!O23&lt;2),0,IF(OR('Budget Period 1'!O23=4,'Budget Period 1'!O23=5),U23*2080/12*AB23*AD23,(U23/(CHOOSE('Budget Period 1'!O23,0,9,12,0,0))*AB23*AD23))))</f>
        <v>0</v>
      </c>
      <c r="AJ23" s="531"/>
      <c r="AK23" s="531"/>
      <c r="AL23" s="532"/>
      <c r="AM23" s="533">
        <f>IF(OR('Budget Period 1'!L23&lt;2,'Budget Period 1'!O23&lt;2),0,IF('Budget Period 1'!L23=4,FringeRate_Y2_PostDoc,CHOOSE('Budget Period 1'!O23,0,FringeRate_Y2_Faculty,FringeRate_Y2_Faculty,FringeRate_Y2_Classified,FringeRate_Y2_LTE)))</f>
        <v>0</v>
      </c>
      <c r="AN23" s="534"/>
      <c r="AO23" s="637">
        <f t="shared" si="2"/>
        <v>0</v>
      </c>
      <c r="AP23" s="638"/>
      <c r="AQ23" s="530">
        <f t="shared" si="3"/>
        <v>0</v>
      </c>
      <c r="AR23" s="531"/>
      <c r="AS23" s="531"/>
      <c r="AT23" s="612"/>
      <c r="AU23" s="137"/>
      <c r="AV23" s="10"/>
    </row>
    <row r="24" spans="2:48" ht="18" customHeight="1" thickBot="1" x14ac:dyDescent="0.25">
      <c r="B24" s="10"/>
      <c r="C24" s="137"/>
      <c r="D24" s="137"/>
      <c r="E24" s="149" t="s">
        <v>103</v>
      </c>
      <c r="F24" s="722">
        <f>'Budget Period 1'!F24:K24</f>
        <v>0</v>
      </c>
      <c r="G24" s="723"/>
      <c r="H24" s="723"/>
      <c r="I24" s="723"/>
      <c r="J24" s="723"/>
      <c r="K24" s="724"/>
      <c r="L24" s="725" t="str">
        <f>CHOOSE('Budget Period 1'!L24,"",'Drop-Down_Options'!$B$25,'Drop-Down_Options'!$B$26,'Drop-Down_Options'!$B$27,'Drop-Down_Options'!$B$28)</f>
        <v/>
      </c>
      <c r="M24" s="726"/>
      <c r="N24" s="727"/>
      <c r="O24" s="725" t="str">
        <f>CHOOSE('Budget Period 1'!O24,"",'Drop-Down_Options'!$B$35,'Drop-Down_Options'!$B$36,"Classified","LTE")</f>
        <v/>
      </c>
      <c r="P24" s="726"/>
      <c r="Q24" s="726"/>
      <c r="R24" s="726"/>
      <c r="S24" s="726"/>
      <c r="T24" s="727"/>
      <c r="U24" s="719">
        <f>'Budget Period 1'!U24*(1+IF(L24="PI",Data_SalaryInflationRatePI,Data_SalaryInflationRate))</f>
        <v>0</v>
      </c>
      <c r="V24" s="720"/>
      <c r="W24" s="720"/>
      <c r="X24" s="721"/>
      <c r="Y24" s="322">
        <v>1</v>
      </c>
      <c r="Z24" s="323"/>
      <c r="AA24" s="321" t="str">
        <f t="shared" si="0"/>
        <v/>
      </c>
      <c r="AB24" s="434"/>
      <c r="AC24" s="436"/>
      <c r="AD24" s="625"/>
      <c r="AE24" s="626"/>
      <c r="AF24" s="626"/>
      <c r="AG24" s="535">
        <f t="shared" si="1"/>
        <v>0</v>
      </c>
      <c r="AH24" s="536"/>
      <c r="AI24" s="530">
        <f>(IF(OR('Budget Period 1'!L24&lt;2,'Budget Period 1'!O24&lt;2),0,IF(OR('Budget Period 1'!O24=4,'Budget Period 1'!O24=5),U24*2080/12*AB24*AD24,(U24/(CHOOSE('Budget Period 1'!O24,0,9,12,0,0))*AB24*AD24))))</f>
        <v>0</v>
      </c>
      <c r="AJ24" s="531"/>
      <c r="AK24" s="531"/>
      <c r="AL24" s="532"/>
      <c r="AM24" s="533">
        <f>IF(OR('Budget Period 1'!L24&lt;2,'Budget Period 1'!O24&lt;2),0,IF('Budget Period 1'!L24=4,FringeRate_Y2_PostDoc,CHOOSE('Budget Period 1'!O24,0,FringeRate_Y2_Faculty,FringeRate_Y2_Faculty,FringeRate_Y2_Classified,FringeRate_Y2_LTE)))</f>
        <v>0</v>
      </c>
      <c r="AN24" s="534"/>
      <c r="AO24" s="637">
        <f t="shared" si="2"/>
        <v>0</v>
      </c>
      <c r="AP24" s="638"/>
      <c r="AQ24" s="530">
        <f t="shared" si="3"/>
        <v>0</v>
      </c>
      <c r="AR24" s="531"/>
      <c r="AS24" s="531"/>
      <c r="AT24" s="612"/>
      <c r="AU24" s="137"/>
      <c r="AV24" s="10"/>
    </row>
    <row r="25" spans="2:48" ht="18" customHeight="1" thickBot="1" x14ac:dyDescent="0.25">
      <c r="B25" s="10"/>
      <c r="C25" s="137"/>
      <c r="D25" s="137"/>
      <c r="E25" s="149" t="s">
        <v>104</v>
      </c>
      <c r="F25" s="722">
        <f>'Budget Period 1'!F25:K25</f>
        <v>0</v>
      </c>
      <c r="G25" s="723"/>
      <c r="H25" s="723"/>
      <c r="I25" s="723"/>
      <c r="J25" s="723"/>
      <c r="K25" s="724"/>
      <c r="L25" s="725" t="str">
        <f>CHOOSE('Budget Period 1'!L25,"",'Drop-Down_Options'!$B$25,'Drop-Down_Options'!$B$26,'Drop-Down_Options'!$B$27,'Drop-Down_Options'!$B$28)</f>
        <v/>
      </c>
      <c r="M25" s="726"/>
      <c r="N25" s="727"/>
      <c r="O25" s="725" t="str">
        <f>CHOOSE('Budget Period 1'!O25,"",'Drop-Down_Options'!$B$35,'Drop-Down_Options'!$B$36,"Classified","LTE")</f>
        <v/>
      </c>
      <c r="P25" s="726"/>
      <c r="Q25" s="726"/>
      <c r="R25" s="726"/>
      <c r="S25" s="726"/>
      <c r="T25" s="727"/>
      <c r="U25" s="719">
        <f>'Budget Period 1'!U25*(1+IF(L25="PI",Data_SalaryInflationRatePI,Data_SalaryInflationRate))</f>
        <v>0</v>
      </c>
      <c r="V25" s="720"/>
      <c r="W25" s="720"/>
      <c r="X25" s="721"/>
      <c r="Y25" s="322">
        <v>1</v>
      </c>
      <c r="Z25" s="323"/>
      <c r="AA25" s="321" t="str">
        <f t="shared" si="0"/>
        <v/>
      </c>
      <c r="AB25" s="434"/>
      <c r="AC25" s="436"/>
      <c r="AD25" s="625"/>
      <c r="AE25" s="626"/>
      <c r="AF25" s="626"/>
      <c r="AG25" s="535">
        <f t="shared" si="1"/>
        <v>0</v>
      </c>
      <c r="AH25" s="536"/>
      <c r="AI25" s="530">
        <f>(IF(OR('Budget Period 1'!L25&lt;2,'Budget Period 1'!O25&lt;2),0,IF(OR('Budget Period 1'!O25=4,'Budget Period 1'!O25=5),U25*2080/12*AB25*AD25,(U25/(CHOOSE('Budget Period 1'!O25,0,9,12,0,0))*AB25*AD25))))</f>
        <v>0</v>
      </c>
      <c r="AJ25" s="531"/>
      <c r="AK25" s="531"/>
      <c r="AL25" s="532"/>
      <c r="AM25" s="533">
        <f>IF(OR('Budget Period 1'!L25&lt;2,'Budget Period 1'!O25&lt;2),0,IF('Budget Period 1'!L25=4,FringeRate_Y2_PostDoc,CHOOSE('Budget Period 1'!O25,0,FringeRate_Y2_Faculty,FringeRate_Y2_Faculty,FringeRate_Y2_Classified,FringeRate_Y2_LTE)))</f>
        <v>0</v>
      </c>
      <c r="AN25" s="534"/>
      <c r="AO25" s="637">
        <f t="shared" si="2"/>
        <v>0</v>
      </c>
      <c r="AP25" s="638"/>
      <c r="AQ25" s="530">
        <f t="shared" si="3"/>
        <v>0</v>
      </c>
      <c r="AR25" s="531"/>
      <c r="AS25" s="531"/>
      <c r="AT25" s="612"/>
      <c r="AU25" s="137"/>
      <c r="AV25" s="10"/>
    </row>
    <row r="26" spans="2:48" ht="18" customHeight="1" thickBot="1" x14ac:dyDescent="0.25">
      <c r="B26" s="10"/>
      <c r="C26" s="137"/>
      <c r="D26" s="137"/>
      <c r="E26" s="149" t="s">
        <v>105</v>
      </c>
      <c r="F26" s="722">
        <f>'Budget Period 1'!F26:K26</f>
        <v>0</v>
      </c>
      <c r="G26" s="723"/>
      <c r="H26" s="723"/>
      <c r="I26" s="723"/>
      <c r="J26" s="723"/>
      <c r="K26" s="724"/>
      <c r="L26" s="725" t="str">
        <f>CHOOSE('Budget Period 1'!L26,"",'Drop-Down_Options'!$B$25,'Drop-Down_Options'!$B$26,'Drop-Down_Options'!$B$27,'Drop-Down_Options'!$B$28)</f>
        <v/>
      </c>
      <c r="M26" s="726"/>
      <c r="N26" s="727"/>
      <c r="O26" s="725" t="str">
        <f>CHOOSE('Budget Period 1'!O26,"",'Drop-Down_Options'!$B$35,'Drop-Down_Options'!$B$36,"Classified","LTE")</f>
        <v/>
      </c>
      <c r="P26" s="726"/>
      <c r="Q26" s="726"/>
      <c r="R26" s="726"/>
      <c r="S26" s="726"/>
      <c r="T26" s="727"/>
      <c r="U26" s="719">
        <f>'Budget Period 1'!U26*(1+IF(L26="PI",Data_SalaryInflationRatePI,Data_SalaryInflationRate))</f>
        <v>0</v>
      </c>
      <c r="V26" s="720"/>
      <c r="W26" s="720"/>
      <c r="X26" s="721"/>
      <c r="Y26" s="322">
        <v>1</v>
      </c>
      <c r="Z26" s="323"/>
      <c r="AA26" s="321" t="str">
        <f t="shared" si="0"/>
        <v/>
      </c>
      <c r="AB26" s="434"/>
      <c r="AC26" s="436"/>
      <c r="AD26" s="625"/>
      <c r="AE26" s="626"/>
      <c r="AF26" s="626"/>
      <c r="AG26" s="535">
        <f t="shared" si="1"/>
        <v>0</v>
      </c>
      <c r="AH26" s="536"/>
      <c r="AI26" s="530">
        <f>(IF(OR('Budget Period 1'!L26&lt;2,'Budget Period 1'!O26&lt;2),0,IF(OR('Budget Period 1'!O26=4,'Budget Period 1'!O26=5),U26*2080/12*AB26*AD26,(U26/(CHOOSE('Budget Period 1'!O26,0,9,12,0,0))*AB26*AD26))))</f>
        <v>0</v>
      </c>
      <c r="AJ26" s="531"/>
      <c r="AK26" s="531"/>
      <c r="AL26" s="532"/>
      <c r="AM26" s="533">
        <f>IF(OR('Budget Period 1'!L26&lt;2,'Budget Period 1'!O26&lt;2),0,IF('Budget Period 1'!L26=4,FringeRate_Y2_PostDoc,CHOOSE('Budget Period 1'!O26,0,FringeRate_Y2_Faculty,FringeRate_Y2_Faculty,FringeRate_Y2_Classified,FringeRate_Y2_LTE)))</f>
        <v>0</v>
      </c>
      <c r="AN26" s="534"/>
      <c r="AO26" s="637">
        <f t="shared" si="2"/>
        <v>0</v>
      </c>
      <c r="AP26" s="638"/>
      <c r="AQ26" s="530">
        <f t="shared" si="3"/>
        <v>0</v>
      </c>
      <c r="AR26" s="531"/>
      <c r="AS26" s="531"/>
      <c r="AT26" s="612"/>
      <c r="AU26" s="137"/>
      <c r="AV26" s="10"/>
    </row>
    <row r="27" spans="2:48" ht="18" customHeight="1" thickBot="1" x14ac:dyDescent="0.25">
      <c r="B27" s="10"/>
      <c r="C27" s="137"/>
      <c r="D27" s="137"/>
      <c r="E27" s="149" t="s">
        <v>106</v>
      </c>
      <c r="F27" s="722">
        <f>'Budget Period 1'!F27:K27</f>
        <v>0</v>
      </c>
      <c r="G27" s="723"/>
      <c r="H27" s="723"/>
      <c r="I27" s="723"/>
      <c r="J27" s="723"/>
      <c r="K27" s="724"/>
      <c r="L27" s="725" t="str">
        <f>CHOOSE('Budget Period 1'!L27,"",'Drop-Down_Options'!$B$25,'Drop-Down_Options'!$B$26,'Drop-Down_Options'!$B$27,'Drop-Down_Options'!$B$28)</f>
        <v/>
      </c>
      <c r="M27" s="726"/>
      <c r="N27" s="727"/>
      <c r="O27" s="725" t="str">
        <f>CHOOSE('Budget Period 1'!O27,"",'Drop-Down_Options'!$B$35,'Drop-Down_Options'!$B$36,"Classified","LTE")</f>
        <v/>
      </c>
      <c r="P27" s="726"/>
      <c r="Q27" s="726"/>
      <c r="R27" s="726"/>
      <c r="S27" s="726"/>
      <c r="T27" s="727"/>
      <c r="U27" s="719">
        <f>'Budget Period 1'!U27*(1+IF(L27="PI",Data_SalaryInflationRatePI,Data_SalaryInflationRate))</f>
        <v>0</v>
      </c>
      <c r="V27" s="720"/>
      <c r="W27" s="720"/>
      <c r="X27" s="721"/>
      <c r="Y27" s="322">
        <v>1</v>
      </c>
      <c r="Z27" s="323"/>
      <c r="AA27" s="321" t="str">
        <f t="shared" si="0"/>
        <v/>
      </c>
      <c r="AB27" s="434"/>
      <c r="AC27" s="436"/>
      <c r="AD27" s="625"/>
      <c r="AE27" s="626"/>
      <c r="AF27" s="626"/>
      <c r="AG27" s="535">
        <f t="shared" si="1"/>
        <v>0</v>
      </c>
      <c r="AH27" s="536"/>
      <c r="AI27" s="530">
        <f>(IF(OR('Budget Period 1'!L27&lt;2,'Budget Period 1'!O27&lt;2),0,IF(OR('Budget Period 1'!O27=4,'Budget Period 1'!O27=5),U27*2080/12*AB27*AD27,(U27/(CHOOSE('Budget Period 1'!O27,0,9,12,0,0))*AB27*AD27))))</f>
        <v>0</v>
      </c>
      <c r="AJ27" s="531"/>
      <c r="AK27" s="531"/>
      <c r="AL27" s="532"/>
      <c r="AM27" s="533">
        <f>IF(OR('Budget Period 1'!L27&lt;2,'Budget Period 1'!O27&lt;2),0,IF('Budget Period 1'!L27=4,FringeRate_Y2_PostDoc,CHOOSE('Budget Period 1'!O27,0,FringeRate_Y2_Faculty,FringeRate_Y2_Faculty,FringeRate_Y2_Classified,FringeRate_Y2_LTE)))</f>
        <v>0</v>
      </c>
      <c r="AN27" s="534"/>
      <c r="AO27" s="637">
        <f t="shared" si="2"/>
        <v>0</v>
      </c>
      <c r="AP27" s="638"/>
      <c r="AQ27" s="530">
        <f t="shared" si="3"/>
        <v>0</v>
      </c>
      <c r="AR27" s="531"/>
      <c r="AS27" s="531"/>
      <c r="AT27" s="612"/>
      <c r="AU27" s="137"/>
      <c r="AV27" s="10"/>
    </row>
    <row r="28" spans="2:48" ht="18" customHeight="1" thickBot="1" x14ac:dyDescent="0.25">
      <c r="B28" s="10"/>
      <c r="C28" s="137"/>
      <c r="D28" s="137"/>
      <c r="E28" s="149" t="s">
        <v>107</v>
      </c>
      <c r="F28" s="722">
        <f>'Budget Period 1'!F28:K28</f>
        <v>0</v>
      </c>
      <c r="G28" s="723"/>
      <c r="H28" s="723"/>
      <c r="I28" s="723"/>
      <c r="J28" s="723"/>
      <c r="K28" s="724"/>
      <c r="L28" s="725" t="str">
        <f>CHOOSE('Budget Period 1'!L28,"",'Drop-Down_Options'!$B$25,'Drop-Down_Options'!$B$26,'Drop-Down_Options'!$B$27,'Drop-Down_Options'!$B$28)</f>
        <v/>
      </c>
      <c r="M28" s="726"/>
      <c r="N28" s="727"/>
      <c r="O28" s="725" t="str">
        <f>CHOOSE('Budget Period 1'!O28,"",'Drop-Down_Options'!$B$35,'Drop-Down_Options'!$B$36,"Classified","LTE")</f>
        <v/>
      </c>
      <c r="P28" s="726"/>
      <c r="Q28" s="726"/>
      <c r="R28" s="726"/>
      <c r="S28" s="726"/>
      <c r="T28" s="727"/>
      <c r="U28" s="719">
        <f>'Budget Period 1'!U28*(1+IF(L28="PI",Data_SalaryInflationRatePI,Data_SalaryInflationRate))</f>
        <v>0</v>
      </c>
      <c r="V28" s="720"/>
      <c r="W28" s="720"/>
      <c r="X28" s="721"/>
      <c r="Y28" s="322">
        <v>1</v>
      </c>
      <c r="Z28" s="323"/>
      <c r="AA28" s="321" t="str">
        <f t="shared" si="0"/>
        <v/>
      </c>
      <c r="AB28" s="434"/>
      <c r="AC28" s="436"/>
      <c r="AD28" s="625"/>
      <c r="AE28" s="626"/>
      <c r="AF28" s="626"/>
      <c r="AG28" s="535">
        <f t="shared" si="1"/>
        <v>0</v>
      </c>
      <c r="AH28" s="536"/>
      <c r="AI28" s="530">
        <f>(IF(OR('Budget Period 1'!L28&lt;2,'Budget Period 1'!O28&lt;2),0,IF(OR('Budget Period 1'!O28=4,'Budget Period 1'!O28=5),U28*2080/12*AB28*AD28,(U28/(CHOOSE('Budget Period 1'!O28,0,9,12,0,0))*AB28*AD28))))</f>
        <v>0</v>
      </c>
      <c r="AJ28" s="531"/>
      <c r="AK28" s="531"/>
      <c r="AL28" s="532"/>
      <c r="AM28" s="533">
        <f>IF(OR('Budget Period 1'!L28&lt;2,'Budget Period 1'!O28&lt;2),0,IF('Budget Period 1'!L28=4,FringeRate_Y2_PostDoc,CHOOSE('Budget Period 1'!O28,0,FringeRate_Y2_Faculty,FringeRate_Y2_Faculty,FringeRate_Y2_Classified,FringeRate_Y2_LTE)))</f>
        <v>0</v>
      </c>
      <c r="AN28" s="534"/>
      <c r="AO28" s="637">
        <f t="shared" si="2"/>
        <v>0</v>
      </c>
      <c r="AP28" s="638"/>
      <c r="AQ28" s="530">
        <f t="shared" si="3"/>
        <v>0</v>
      </c>
      <c r="AR28" s="531"/>
      <c r="AS28" s="531"/>
      <c r="AT28" s="612"/>
      <c r="AU28" s="137"/>
      <c r="AV28" s="10"/>
    </row>
    <row r="29" spans="2:48" ht="18" customHeight="1" thickBot="1" x14ac:dyDescent="0.25">
      <c r="B29" s="10"/>
      <c r="C29" s="137"/>
      <c r="D29" s="137"/>
      <c r="E29" s="149" t="s">
        <v>108</v>
      </c>
      <c r="F29" s="722">
        <f>'Budget Period 1'!F29:K29</f>
        <v>0</v>
      </c>
      <c r="G29" s="723"/>
      <c r="H29" s="723"/>
      <c r="I29" s="723"/>
      <c r="J29" s="723"/>
      <c r="K29" s="724"/>
      <c r="L29" s="725" t="str">
        <f>CHOOSE('Budget Period 1'!L29,"",'Drop-Down_Options'!$B$25,'Drop-Down_Options'!$B$26,'Drop-Down_Options'!$B$27,'Drop-Down_Options'!$B$28)</f>
        <v/>
      </c>
      <c r="M29" s="726"/>
      <c r="N29" s="727"/>
      <c r="O29" s="725" t="str">
        <f>CHOOSE('Budget Period 1'!O29,"",'Drop-Down_Options'!$B$35,'Drop-Down_Options'!$B$36,"Classified","LTE")</f>
        <v/>
      </c>
      <c r="P29" s="726"/>
      <c r="Q29" s="726"/>
      <c r="R29" s="726"/>
      <c r="S29" s="726"/>
      <c r="T29" s="727"/>
      <c r="U29" s="719">
        <f>'Budget Period 1'!U29*(1+IF(L29="PI",Data_SalaryInflationRatePI,Data_SalaryInflationRate))</f>
        <v>0</v>
      </c>
      <c r="V29" s="720"/>
      <c r="W29" s="720"/>
      <c r="X29" s="721"/>
      <c r="Y29" s="322">
        <v>1</v>
      </c>
      <c r="Z29" s="323"/>
      <c r="AA29" s="321" t="str">
        <f t="shared" si="0"/>
        <v/>
      </c>
      <c r="AB29" s="434"/>
      <c r="AC29" s="436"/>
      <c r="AD29" s="625"/>
      <c r="AE29" s="626"/>
      <c r="AF29" s="626"/>
      <c r="AG29" s="535">
        <f t="shared" si="1"/>
        <v>0</v>
      </c>
      <c r="AH29" s="536"/>
      <c r="AI29" s="530">
        <f>(IF(OR('Budget Period 1'!L29&lt;2,'Budget Period 1'!O29&lt;2),0,IF(OR('Budget Period 1'!O29=4,'Budget Period 1'!O29=5),U29*2080/12*AB29*AD29,(U29/(CHOOSE('Budget Period 1'!O29,0,9,12,0,0))*AB29*AD29))))</f>
        <v>0</v>
      </c>
      <c r="AJ29" s="531"/>
      <c r="AK29" s="531"/>
      <c r="AL29" s="532"/>
      <c r="AM29" s="533">
        <f>IF(OR('Budget Period 1'!L29&lt;2,'Budget Period 1'!O29&lt;2),0,IF('Budget Period 1'!L29=4,FringeRate_Y2_PostDoc,CHOOSE('Budget Period 1'!O29,0,FringeRate_Y2_Faculty,FringeRate_Y2_Faculty,FringeRate_Y2_Classified,FringeRate_Y2_LTE)))</f>
        <v>0</v>
      </c>
      <c r="AN29" s="534"/>
      <c r="AO29" s="637">
        <f t="shared" si="2"/>
        <v>0</v>
      </c>
      <c r="AP29" s="638"/>
      <c r="AQ29" s="530">
        <f t="shared" si="3"/>
        <v>0</v>
      </c>
      <c r="AR29" s="531"/>
      <c r="AS29" s="531"/>
      <c r="AT29" s="612"/>
      <c r="AU29" s="137"/>
      <c r="AV29" s="10"/>
    </row>
    <row r="30" spans="2:48" ht="18" customHeight="1" thickBot="1" x14ac:dyDescent="0.25">
      <c r="B30" s="10"/>
      <c r="C30" s="137"/>
      <c r="D30" s="137"/>
      <c r="E30" s="149" t="s">
        <v>109</v>
      </c>
      <c r="F30" s="728">
        <f>'Budget Period 1'!F30:K30</f>
        <v>0</v>
      </c>
      <c r="G30" s="729"/>
      <c r="H30" s="729"/>
      <c r="I30" s="729"/>
      <c r="J30" s="729"/>
      <c r="K30" s="730"/>
      <c r="L30" s="731" t="str">
        <f>CHOOSE('Budget Period 1'!L30,"",'Drop-Down_Options'!$B$25,'Drop-Down_Options'!$B$26,'Drop-Down_Options'!$B$27,'Drop-Down_Options'!$B$28)</f>
        <v/>
      </c>
      <c r="M30" s="732"/>
      <c r="N30" s="733"/>
      <c r="O30" s="731" t="str">
        <f>CHOOSE('Budget Period 1'!O30,"",'Drop-Down_Options'!$B$35,'Drop-Down_Options'!$B$36,"Classified","LTE")</f>
        <v/>
      </c>
      <c r="P30" s="732"/>
      <c r="Q30" s="732"/>
      <c r="R30" s="732"/>
      <c r="S30" s="732"/>
      <c r="T30" s="733"/>
      <c r="U30" s="734">
        <f>'Budget Period 1'!U30*(1+IF(L30="PI",Data_SalaryInflationRatePI,Data_SalaryInflationRate))</f>
        <v>0</v>
      </c>
      <c r="V30" s="735"/>
      <c r="W30" s="735"/>
      <c r="X30" s="736"/>
      <c r="Y30" s="324">
        <v>1</v>
      </c>
      <c r="Z30" s="325"/>
      <c r="AA30" s="321" t="str">
        <f t="shared" si="0"/>
        <v/>
      </c>
      <c r="AB30" s="598"/>
      <c r="AC30" s="599"/>
      <c r="AD30" s="647"/>
      <c r="AE30" s="648"/>
      <c r="AF30" s="648"/>
      <c r="AG30" s="600">
        <f t="shared" si="1"/>
        <v>0</v>
      </c>
      <c r="AH30" s="601"/>
      <c r="AI30" s="649">
        <f>(IF(OR('Budget Period 1'!L30&lt;2,'Budget Period 1'!O30&lt;2),0,IF(OR('Budget Period 1'!O30=4,'Budget Period 1'!O30=5),U30*2080/12*AB30*AD30,(U30/(CHOOSE('Budget Period 1'!O30,0,9,12,0,0))*AB30*AD30))))</f>
        <v>0</v>
      </c>
      <c r="AJ30" s="650"/>
      <c r="AK30" s="650"/>
      <c r="AL30" s="651"/>
      <c r="AM30" s="670">
        <f>IF(OR('Budget Period 1'!L30&lt;2,'Budget Period 1'!O30&lt;2),0,IF('Budget Period 1'!L30=4,FringeRate_Y2_PostDoc,CHOOSE('Budget Period 1'!O30,0,FringeRate_Y2_Faculty,FringeRate_Y2_Faculty,FringeRate_Y2_Classified,FringeRate_Y2_LTE)))</f>
        <v>0</v>
      </c>
      <c r="AN30" s="671"/>
      <c r="AO30" s="664">
        <f t="shared" si="2"/>
        <v>0</v>
      </c>
      <c r="AP30" s="665"/>
      <c r="AQ30" s="649">
        <f t="shared" si="3"/>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693">
        <f>SUM(AI11:AL30)</f>
        <v>0</v>
      </c>
      <c r="AJ32" s="694"/>
      <c r="AK32" s="694"/>
      <c r="AL32" s="695"/>
      <c r="AM32" s="154"/>
      <c r="AN32" s="154"/>
      <c r="AO32" s="693">
        <f>SUM(AO11:AP30)</f>
        <v>0</v>
      </c>
      <c r="AP32" s="694"/>
      <c r="AQ32" s="693">
        <f>SUM(AQ11:AT30)</f>
        <v>0</v>
      </c>
      <c r="AR32" s="694"/>
      <c r="AS32" s="694"/>
      <c r="AT32" s="695"/>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82" t="s">
        <v>433</v>
      </c>
      <c r="G35" s="518"/>
      <c r="H35" s="518"/>
      <c r="I35" s="518"/>
      <c r="J35" s="518"/>
      <c r="K35" s="518"/>
      <c r="L35" s="518"/>
      <c r="M35" s="518"/>
      <c r="N35" s="518"/>
      <c r="O35" s="518"/>
      <c r="P35" s="518"/>
      <c r="Q35" s="518"/>
      <c r="R35" s="518" t="s">
        <v>119</v>
      </c>
      <c r="S35" s="518"/>
      <c r="T35" s="518" t="s">
        <v>122</v>
      </c>
      <c r="U35" s="518"/>
      <c r="V35" s="518"/>
      <c r="W35" s="518"/>
      <c r="X35" s="518"/>
      <c r="Y35" s="518" t="s">
        <v>121</v>
      </c>
      <c r="Z35" s="518"/>
      <c r="AA35" s="518"/>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762"/>
      <c r="G36" s="763"/>
      <c r="H36" s="763"/>
      <c r="I36" s="763"/>
      <c r="J36" s="763"/>
      <c r="K36" s="763"/>
      <c r="L36" s="763"/>
      <c r="M36" s="763"/>
      <c r="N36" s="763"/>
      <c r="O36" s="763"/>
      <c r="P36" s="763"/>
      <c r="Q36" s="763"/>
      <c r="R36" s="763"/>
      <c r="S36" s="763"/>
      <c r="T36" s="763"/>
      <c r="U36" s="763"/>
      <c r="V36" s="763"/>
      <c r="W36" s="763"/>
      <c r="X36" s="763"/>
      <c r="Y36" s="763"/>
      <c r="Z36" s="763"/>
      <c r="AA36" s="764"/>
      <c r="AB36" s="765"/>
      <c r="AC36" s="766"/>
      <c r="AD36" s="767"/>
      <c r="AE36" s="137"/>
      <c r="AF36" s="703">
        <f>IF(OR(AB36="",Calc!F60=1),0,(AB36*TuitionRemission_GradAssistants_Y2)/IF(Calc!F60&lt;=5,1,2))</f>
        <v>0</v>
      </c>
      <c r="AG36" s="704"/>
      <c r="AH36" s="705"/>
      <c r="AI36" s="700">
        <f>IF(OR(Calc!D60=1,Calc!E60=1,Calc!F60=1),0,Calc!I60*AB36)</f>
        <v>0</v>
      </c>
      <c r="AJ36" s="701"/>
      <c r="AK36" s="701"/>
      <c r="AL36" s="702"/>
      <c r="AM36" s="746">
        <f>IF(AB36&gt;0,FringeRate_Y2_GradStudent,0)</f>
        <v>0</v>
      </c>
      <c r="AN36" s="747"/>
      <c r="AO36" s="700">
        <f>AM36*AI36</f>
        <v>0</v>
      </c>
      <c r="AP36" s="702"/>
      <c r="AQ36" s="700">
        <f>R36*T36+AF36+AI36+AO36</f>
        <v>0</v>
      </c>
      <c r="AR36" s="701"/>
      <c r="AS36" s="701"/>
      <c r="AT36" s="717"/>
      <c r="AU36" s="137"/>
      <c r="AV36" s="10"/>
    </row>
    <row r="37" spans="2:48" ht="20.100000000000001" customHeight="1" x14ac:dyDescent="0.2">
      <c r="B37" s="10"/>
      <c r="C37" s="137"/>
      <c r="D37" s="137"/>
      <c r="E37" s="342" t="s">
        <v>92</v>
      </c>
      <c r="F37" s="752"/>
      <c r="G37" s="753"/>
      <c r="H37" s="753"/>
      <c r="I37" s="753"/>
      <c r="J37" s="753"/>
      <c r="K37" s="753"/>
      <c r="L37" s="753"/>
      <c r="M37" s="753"/>
      <c r="N37" s="753"/>
      <c r="O37" s="753"/>
      <c r="P37" s="753"/>
      <c r="Q37" s="753"/>
      <c r="R37" s="753"/>
      <c r="S37" s="753"/>
      <c r="T37" s="753"/>
      <c r="U37" s="753"/>
      <c r="V37" s="753"/>
      <c r="W37" s="753"/>
      <c r="X37" s="753"/>
      <c r="Y37" s="753"/>
      <c r="Z37" s="753"/>
      <c r="AA37" s="753"/>
      <c r="AB37" s="655"/>
      <c r="AC37" s="656"/>
      <c r="AD37" s="657"/>
      <c r="AE37" s="137"/>
      <c r="AF37" s="706">
        <f>IF(OR(AB37="",Calc!F61=1),0,(AB37*TuitionRemission_GradAssistants_Y2)/IF(Calc!F61&lt;=5,1,2))</f>
        <v>0</v>
      </c>
      <c r="AG37" s="707"/>
      <c r="AH37" s="708"/>
      <c r="AI37" s="714">
        <f>IF(OR(Calc!D61=1,Calc!E61=1,Calc!F61=1),0,Calc!I61*AB37)</f>
        <v>0</v>
      </c>
      <c r="AJ37" s="716"/>
      <c r="AK37" s="716"/>
      <c r="AL37" s="715"/>
      <c r="AM37" s="748">
        <f>IF(AB37&gt;0,FringeRate_Y2_GradStudent,0)</f>
        <v>0</v>
      </c>
      <c r="AN37" s="749"/>
      <c r="AO37" s="714">
        <f t="shared" ref="AO37:AO40" si="4">AM37*AI37</f>
        <v>0</v>
      </c>
      <c r="AP37" s="715"/>
      <c r="AQ37" s="714">
        <f>R37*T37+AF37+AI37+AO37</f>
        <v>0</v>
      </c>
      <c r="AR37" s="716"/>
      <c r="AS37" s="716"/>
      <c r="AT37" s="718"/>
      <c r="AU37" s="137"/>
      <c r="AV37" s="10"/>
    </row>
    <row r="38" spans="2:48" ht="20.100000000000001" customHeight="1" x14ac:dyDescent="0.2">
      <c r="B38" s="10"/>
      <c r="C38" s="137"/>
      <c r="D38" s="137"/>
      <c r="E38" s="342" t="s">
        <v>93</v>
      </c>
      <c r="F38" s="752"/>
      <c r="G38" s="753"/>
      <c r="H38" s="753"/>
      <c r="I38" s="753"/>
      <c r="J38" s="753"/>
      <c r="K38" s="753"/>
      <c r="L38" s="753"/>
      <c r="M38" s="753"/>
      <c r="N38" s="753"/>
      <c r="O38" s="753"/>
      <c r="P38" s="753"/>
      <c r="Q38" s="753"/>
      <c r="R38" s="753"/>
      <c r="S38" s="753"/>
      <c r="T38" s="753"/>
      <c r="U38" s="753"/>
      <c r="V38" s="753"/>
      <c r="W38" s="753"/>
      <c r="X38" s="753"/>
      <c r="Y38" s="753"/>
      <c r="Z38" s="753"/>
      <c r="AA38" s="753"/>
      <c r="AB38" s="655"/>
      <c r="AC38" s="656"/>
      <c r="AD38" s="657"/>
      <c r="AE38" s="137"/>
      <c r="AF38" s="706">
        <f>IF(OR(AB38="",Calc!F62=1),0,(AB38*TuitionRemission_GradAssistants_Y2)/IF(Calc!F62&lt;=5,1,2))</f>
        <v>0</v>
      </c>
      <c r="AG38" s="707"/>
      <c r="AH38" s="708"/>
      <c r="AI38" s="714">
        <f>IF(OR(Calc!D62=1,Calc!E62=1,Calc!F62=1),0,Calc!I62*AB38)</f>
        <v>0</v>
      </c>
      <c r="AJ38" s="716"/>
      <c r="AK38" s="716"/>
      <c r="AL38" s="715"/>
      <c r="AM38" s="748">
        <f>IF(AB38&gt;0,FringeRate_Y2_GradStudent,0)</f>
        <v>0</v>
      </c>
      <c r="AN38" s="749"/>
      <c r="AO38" s="714">
        <f t="shared" si="4"/>
        <v>0</v>
      </c>
      <c r="AP38" s="715"/>
      <c r="AQ38" s="714">
        <f>R38*T38+AF38+AI38+AO38</f>
        <v>0</v>
      </c>
      <c r="AR38" s="716"/>
      <c r="AS38" s="716"/>
      <c r="AT38" s="718"/>
      <c r="AU38" s="137"/>
      <c r="AV38" s="10"/>
    </row>
    <row r="39" spans="2:48" ht="20.100000000000001" customHeight="1" x14ac:dyDescent="0.2">
      <c r="B39" s="10"/>
      <c r="C39" s="137"/>
      <c r="D39" s="137"/>
      <c r="E39" s="342" t="s">
        <v>94</v>
      </c>
      <c r="F39" s="752"/>
      <c r="G39" s="753"/>
      <c r="H39" s="753"/>
      <c r="I39" s="753"/>
      <c r="J39" s="753"/>
      <c r="K39" s="753"/>
      <c r="L39" s="753"/>
      <c r="M39" s="753"/>
      <c r="N39" s="753"/>
      <c r="O39" s="753"/>
      <c r="P39" s="753"/>
      <c r="Q39" s="753"/>
      <c r="R39" s="753"/>
      <c r="S39" s="753"/>
      <c r="T39" s="753"/>
      <c r="U39" s="753"/>
      <c r="V39" s="753"/>
      <c r="W39" s="753"/>
      <c r="X39" s="753"/>
      <c r="Y39" s="753"/>
      <c r="Z39" s="753"/>
      <c r="AA39" s="753"/>
      <c r="AB39" s="655"/>
      <c r="AC39" s="656"/>
      <c r="AD39" s="657"/>
      <c r="AE39" s="137"/>
      <c r="AF39" s="706">
        <f>IF(OR(AB39="",Calc!F63=1),0,(AB39*TuitionRemission_GradAssistants_Y2)/IF(Calc!F63&lt;=5,1,2))</f>
        <v>0</v>
      </c>
      <c r="AG39" s="707"/>
      <c r="AH39" s="708"/>
      <c r="AI39" s="714">
        <f>IF(OR(Calc!D63=1,Calc!E63=1,Calc!F63=1),0,Calc!I63*AB39)</f>
        <v>0</v>
      </c>
      <c r="AJ39" s="716"/>
      <c r="AK39" s="716"/>
      <c r="AL39" s="715"/>
      <c r="AM39" s="748">
        <f>IF(AB39&gt;0,FringeRate_Y2_GradStudent,0)</f>
        <v>0</v>
      </c>
      <c r="AN39" s="749"/>
      <c r="AO39" s="714">
        <f t="shared" si="4"/>
        <v>0</v>
      </c>
      <c r="AP39" s="715"/>
      <c r="AQ39" s="714">
        <f>R39*T39+AF39+AI39+AO39</f>
        <v>0</v>
      </c>
      <c r="AR39" s="716"/>
      <c r="AS39" s="716"/>
      <c r="AT39" s="718"/>
      <c r="AU39" s="137"/>
      <c r="AV39" s="10"/>
    </row>
    <row r="40" spans="2:48" ht="20.100000000000001" customHeight="1" thickBot="1" x14ac:dyDescent="0.25">
      <c r="B40" s="10"/>
      <c r="C40" s="137"/>
      <c r="D40" s="137"/>
      <c r="E40" s="342" t="s">
        <v>95</v>
      </c>
      <c r="F40" s="754"/>
      <c r="G40" s="755"/>
      <c r="H40" s="755"/>
      <c r="I40" s="755"/>
      <c r="J40" s="755"/>
      <c r="K40" s="755"/>
      <c r="L40" s="755"/>
      <c r="M40" s="755"/>
      <c r="N40" s="755"/>
      <c r="O40" s="755"/>
      <c r="P40" s="755"/>
      <c r="Q40" s="755"/>
      <c r="R40" s="755"/>
      <c r="S40" s="755"/>
      <c r="T40" s="755"/>
      <c r="U40" s="755"/>
      <c r="V40" s="755"/>
      <c r="W40" s="755"/>
      <c r="X40" s="755"/>
      <c r="Y40" s="755"/>
      <c r="Z40" s="755"/>
      <c r="AA40" s="755"/>
      <c r="AB40" s="768"/>
      <c r="AC40" s="769"/>
      <c r="AD40" s="770"/>
      <c r="AE40" s="137"/>
      <c r="AF40" s="689">
        <f>IF(OR(AB40="",Calc!F64=1),0,(AB40*TuitionRemission_GradAssistants_Y2)/IF(Calc!F64&lt;=5,1,2))</f>
        <v>0</v>
      </c>
      <c r="AG40" s="482"/>
      <c r="AH40" s="483"/>
      <c r="AI40" s="712">
        <f>IF(OR(Calc!D64=1,Calc!E64=1,Calc!F64=1),0,Calc!I64*AB40)</f>
        <v>0</v>
      </c>
      <c r="AJ40" s="756"/>
      <c r="AK40" s="756"/>
      <c r="AL40" s="713"/>
      <c r="AM40" s="691">
        <f>IF(AB40&gt;0,FringeRate_Y2_GradStudent,0)</f>
        <v>0</v>
      </c>
      <c r="AN40" s="692"/>
      <c r="AO40" s="712">
        <f t="shared" si="4"/>
        <v>0</v>
      </c>
      <c r="AP40" s="713"/>
      <c r="AQ40" s="712">
        <f>R40*T40+AF40+AI40+AO40</f>
        <v>0</v>
      </c>
      <c r="AR40" s="756"/>
      <c r="AS40" s="756"/>
      <c r="AT40" s="761"/>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750"/>
      <c r="T42" s="750"/>
      <c r="U42" s="750"/>
      <c r="V42" s="750"/>
      <c r="W42" s="750"/>
      <c r="X42" s="751"/>
      <c r="Y42" s="751"/>
      <c r="Z42" s="751"/>
      <c r="AA42" s="751"/>
      <c r="AB42" s="151"/>
      <c r="AC42" s="151"/>
      <c r="AD42" s="151"/>
      <c r="AE42" s="302"/>
      <c r="AF42" s="595">
        <f>SUM(AF36:AH40)</f>
        <v>0</v>
      </c>
      <c r="AG42" s="595"/>
      <c r="AH42" s="595"/>
      <c r="AI42" s="528">
        <f>SUM(AI36:AL40)</f>
        <v>0</v>
      </c>
      <c r="AJ42" s="528"/>
      <c r="AK42" s="528"/>
      <c r="AL42" s="528"/>
      <c r="AM42" s="529"/>
      <c r="AN42" s="529"/>
      <c r="AO42" s="592">
        <f>SUM(AO36:AP40)</f>
        <v>0</v>
      </c>
      <c r="AP42" s="593"/>
      <c r="AQ42" s="592">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696">
        <f>U46/Var_PersonHoursPerMonth</f>
        <v>0</v>
      </c>
      <c r="AH46" s="697"/>
      <c r="AI46" s="520">
        <f>R46*U46</f>
        <v>0</v>
      </c>
      <c r="AJ46" s="521"/>
      <c r="AK46" s="521"/>
      <c r="AL46" s="521"/>
      <c r="AM46" s="584">
        <f>FringeRate_Y2_Student</f>
        <v>2.4E-2</v>
      </c>
      <c r="AN46" s="584"/>
      <c r="AO46" s="521">
        <f>AI46*AM46</f>
        <v>0</v>
      </c>
      <c r="AP46" s="521"/>
      <c r="AQ46" s="521">
        <f>AI46+AO46</f>
        <v>0</v>
      </c>
      <c r="AR46" s="521"/>
      <c r="AS46" s="521"/>
      <c r="AT46" s="524"/>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658"/>
      <c r="V47" s="659"/>
      <c r="W47" s="660"/>
      <c r="X47" s="137"/>
      <c r="Y47" s="137"/>
      <c r="Z47" s="137"/>
      <c r="AA47" s="137"/>
      <c r="AB47" s="137"/>
      <c r="AC47" s="137"/>
      <c r="AD47" s="137"/>
      <c r="AE47" s="137"/>
      <c r="AF47" s="137"/>
      <c r="AG47" s="698">
        <f>U47/Var_PersonHoursPerMonth</f>
        <v>0</v>
      </c>
      <c r="AH47" s="699"/>
      <c r="AI47" s="522">
        <f>R47*U47</f>
        <v>0</v>
      </c>
      <c r="AJ47" s="515"/>
      <c r="AK47" s="515"/>
      <c r="AL47" s="515"/>
      <c r="AM47" s="523">
        <f>FringeRate_Y2_Student</f>
        <v>2.4E-2</v>
      </c>
      <c r="AN47" s="523"/>
      <c r="AO47" s="515">
        <f>AI47*AM47</f>
        <v>0</v>
      </c>
      <c r="AP47" s="515"/>
      <c r="AQ47" s="515">
        <f>AI47+AO47</f>
        <v>0</v>
      </c>
      <c r="AR47" s="515"/>
      <c r="AS47" s="515"/>
      <c r="AT47" s="516"/>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658"/>
      <c r="V48" s="659"/>
      <c r="W48" s="660"/>
      <c r="X48" s="137"/>
      <c r="Y48" s="137"/>
      <c r="Z48" s="137"/>
      <c r="AA48" s="137"/>
      <c r="AB48" s="137"/>
      <c r="AC48" s="137"/>
      <c r="AD48" s="137"/>
      <c r="AE48" s="137"/>
      <c r="AF48" s="137"/>
      <c r="AG48" s="698">
        <f>U48/Var_PersonHoursPerMonth</f>
        <v>0</v>
      </c>
      <c r="AH48" s="699"/>
      <c r="AI48" s="522">
        <f>R48*U48</f>
        <v>0</v>
      </c>
      <c r="AJ48" s="515"/>
      <c r="AK48" s="515"/>
      <c r="AL48" s="515"/>
      <c r="AM48" s="523">
        <f>FringeRate_Y2_Student</f>
        <v>2.4E-2</v>
      </c>
      <c r="AN48" s="523"/>
      <c r="AO48" s="515">
        <f>AI48*AM48</f>
        <v>0</v>
      </c>
      <c r="AP48" s="515"/>
      <c r="AQ48" s="515">
        <f>AI48+AO48</f>
        <v>0</v>
      </c>
      <c r="AR48" s="515"/>
      <c r="AS48" s="515"/>
      <c r="AT48" s="516"/>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658"/>
      <c r="V49" s="659"/>
      <c r="W49" s="660"/>
      <c r="X49" s="137"/>
      <c r="Y49" s="137"/>
      <c r="Z49" s="137"/>
      <c r="AA49" s="137"/>
      <c r="AB49" s="137"/>
      <c r="AC49" s="137"/>
      <c r="AD49" s="137"/>
      <c r="AE49" s="137"/>
      <c r="AF49" s="137"/>
      <c r="AG49" s="698">
        <f>U49/Var_PersonHoursPerMonth</f>
        <v>0</v>
      </c>
      <c r="AH49" s="699"/>
      <c r="AI49" s="522">
        <f>R49*U49</f>
        <v>0</v>
      </c>
      <c r="AJ49" s="515"/>
      <c r="AK49" s="515"/>
      <c r="AL49" s="515"/>
      <c r="AM49" s="523">
        <f>FringeRate_Y2_Student</f>
        <v>2.4E-2</v>
      </c>
      <c r="AN49" s="523"/>
      <c r="AO49" s="515">
        <f>AI49*AM49</f>
        <v>0</v>
      </c>
      <c r="AP49" s="515"/>
      <c r="AQ49" s="515">
        <f>AI49+AO49</f>
        <v>0</v>
      </c>
      <c r="AR49" s="515"/>
      <c r="AS49" s="515"/>
      <c r="AT49" s="516"/>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02"/>
      <c r="V50" s="503"/>
      <c r="W50" s="504"/>
      <c r="X50" s="137"/>
      <c r="Y50" s="137"/>
      <c r="Z50" s="137"/>
      <c r="AA50" s="137"/>
      <c r="AB50" s="137"/>
      <c r="AC50" s="137"/>
      <c r="AD50" s="137"/>
      <c r="AE50" s="137"/>
      <c r="AF50" s="137"/>
      <c r="AG50" s="709">
        <f>U50/Var_PersonHoursPerMonth</f>
        <v>0</v>
      </c>
      <c r="AH50" s="710"/>
      <c r="AI50" s="591">
        <f>R50*U50</f>
        <v>0</v>
      </c>
      <c r="AJ50" s="575"/>
      <c r="AK50" s="575"/>
      <c r="AL50" s="575"/>
      <c r="AM50" s="581">
        <f>FringeRate_Y2_Student</f>
        <v>2.4E-2</v>
      </c>
      <c r="AN50" s="581"/>
      <c r="AO50" s="575">
        <f>AI50*AM50</f>
        <v>0</v>
      </c>
      <c r="AP50" s="575"/>
      <c r="AQ50" s="575">
        <f>AI50+AO50</f>
        <v>0</v>
      </c>
      <c r="AR50" s="575"/>
      <c r="AS50" s="575"/>
      <c r="AT50" s="57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577">
        <f>SUM(AI46:AL50)</f>
        <v>0</v>
      </c>
      <c r="AJ52" s="577"/>
      <c r="AK52" s="577"/>
      <c r="AL52" s="577"/>
      <c r="AM52" s="711"/>
      <c r="AN52" s="711"/>
      <c r="AO52" s="577">
        <f>SUM(AO46:AP50)</f>
        <v>0</v>
      </c>
      <c r="AP52" s="577"/>
      <c r="AQ52" s="577">
        <f>SUM(AQ46:AT50)</f>
        <v>0</v>
      </c>
      <c r="AR52" s="577"/>
      <c r="AS52" s="577"/>
      <c r="AT52" s="577"/>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537">
        <f>SUM(AK56:AN65)</f>
        <v>0</v>
      </c>
      <c r="AQ66" s="538"/>
      <c r="AR66" s="538"/>
      <c r="AS66" s="538"/>
      <c r="AT66" s="539"/>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91"/>
      <c r="AL79" s="491"/>
      <c r="AM79" s="491"/>
      <c r="AN79" s="492"/>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91"/>
      <c r="AL80" s="491"/>
      <c r="AM80" s="491"/>
      <c r="AN80" s="492"/>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91"/>
      <c r="AL81" s="491"/>
      <c r="AM81" s="491"/>
      <c r="AN81" s="492"/>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91"/>
      <c r="AL82" s="491"/>
      <c r="AM82" s="491"/>
      <c r="AN82" s="492"/>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91"/>
      <c r="AL83" s="491"/>
      <c r="AM83" s="491"/>
      <c r="AN83" s="492"/>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91"/>
      <c r="AL84" s="491"/>
      <c r="AM84" s="491"/>
      <c r="AN84" s="492"/>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91"/>
      <c r="AL85" s="491"/>
      <c r="AM85" s="491"/>
      <c r="AN85" s="492"/>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537">
        <f>SUM(AK69:AN76)</f>
        <v>0</v>
      </c>
      <c r="AQ86" s="538"/>
      <c r="AR86" s="538"/>
      <c r="AS86" s="538"/>
      <c r="AT86" s="539"/>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537">
        <f>SUM(AK78:AN85)</f>
        <v>0</v>
      </c>
      <c r="AQ87" s="538"/>
      <c r="AR87" s="538"/>
      <c r="AS87" s="538"/>
      <c r="AT87" s="539"/>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537">
        <f>SUM(AK90:AN99)</f>
        <v>0</v>
      </c>
      <c r="AQ100" s="538"/>
      <c r="AR100" s="538"/>
      <c r="AS100" s="538"/>
      <c r="AT100" s="539"/>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10" t="s">
        <v>171</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t="s">
        <v>217</v>
      </c>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548">
        <f>'Budget Period 1'!F103</f>
        <v>0</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21">
        <f>Data_Subaward_Y1_1+Data_Subaward_Y2_1</f>
        <v>0</v>
      </c>
      <c r="AH103" s="521"/>
      <c r="AI103" s="521"/>
      <c r="AJ103" s="521"/>
      <c r="AK103" s="487"/>
      <c r="AL103" s="487"/>
      <c r="AM103" s="487"/>
      <c r="AN103" s="488"/>
      <c r="AO103" s="137"/>
      <c r="AP103" s="137"/>
      <c r="AQ103" s="137"/>
      <c r="AR103" s="137"/>
      <c r="AS103" s="137"/>
      <c r="AT103" s="137"/>
      <c r="AU103" s="137"/>
      <c r="AV103" s="10"/>
    </row>
    <row r="104" spans="2:48" x14ac:dyDescent="0.2">
      <c r="B104" s="10"/>
      <c r="C104" s="137"/>
      <c r="D104" s="137"/>
      <c r="E104" s="149" t="s">
        <v>92</v>
      </c>
      <c r="F104" s="546">
        <f>'Budget Period 1'!F104</f>
        <v>0</v>
      </c>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15">
        <f>Data_Subaward_Y1_2+Data_Subaward_Y2_2</f>
        <v>0</v>
      </c>
      <c r="AH104" s="515"/>
      <c r="AI104" s="515"/>
      <c r="AJ104" s="515"/>
      <c r="AK104" s="458"/>
      <c r="AL104" s="458"/>
      <c r="AM104" s="458"/>
      <c r="AN104" s="459"/>
      <c r="AO104" s="137"/>
      <c r="AP104" s="137"/>
      <c r="AQ104" s="137"/>
      <c r="AR104" s="137"/>
      <c r="AS104" s="137"/>
      <c r="AT104" s="137"/>
      <c r="AU104" s="137"/>
      <c r="AV104" s="10"/>
    </row>
    <row r="105" spans="2:48" x14ac:dyDescent="0.2">
      <c r="B105" s="10"/>
      <c r="C105" s="137"/>
      <c r="D105" s="137"/>
      <c r="E105" s="149" t="s">
        <v>93</v>
      </c>
      <c r="F105" s="546">
        <f>'Budget Period 1'!F105</f>
        <v>0</v>
      </c>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15">
        <f>Data_Subaward_Y1_3+Data_Subaward_Y2_3</f>
        <v>0</v>
      </c>
      <c r="AH105" s="515"/>
      <c r="AI105" s="515"/>
      <c r="AJ105" s="515"/>
      <c r="AK105" s="458"/>
      <c r="AL105" s="458"/>
      <c r="AM105" s="458"/>
      <c r="AN105" s="459"/>
      <c r="AO105" s="137"/>
      <c r="AP105" s="137"/>
      <c r="AQ105" s="137"/>
      <c r="AR105" s="137"/>
      <c r="AS105" s="137"/>
      <c r="AT105" s="137"/>
      <c r="AU105" s="137"/>
      <c r="AV105" s="10"/>
    </row>
    <row r="106" spans="2:48" x14ac:dyDescent="0.2">
      <c r="B106" s="10"/>
      <c r="C106" s="137"/>
      <c r="D106" s="137"/>
      <c r="E106" s="149" t="s">
        <v>94</v>
      </c>
      <c r="F106" s="546">
        <f>'Budget Period 1'!F106</f>
        <v>0</v>
      </c>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15">
        <f>Data_Subaward_Y1_4+Data_Subaward_Y2_4</f>
        <v>0</v>
      </c>
      <c r="AH106" s="515"/>
      <c r="AI106" s="515"/>
      <c r="AJ106" s="515"/>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757">
        <f>'Budget Period 1'!F107</f>
        <v>0</v>
      </c>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575">
        <f>Data_Subaward_Y1_5+Data_Subaward_Y2_5</f>
        <v>0</v>
      </c>
      <c r="AH107" s="575"/>
      <c r="AI107" s="575"/>
      <c r="AJ107" s="575"/>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93">
        <f>'Budget Period 1'!F109</f>
        <v>0</v>
      </c>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389"/>
      <c r="AK109" s="487"/>
      <c r="AL109" s="487"/>
      <c r="AM109" s="487"/>
      <c r="AN109" s="488"/>
      <c r="AO109" s="137"/>
      <c r="AP109" s="137"/>
      <c r="AQ109" s="137"/>
      <c r="AR109" s="137"/>
      <c r="AS109" s="137"/>
      <c r="AT109" s="137"/>
      <c r="AU109" s="137"/>
      <c r="AV109" s="10"/>
    </row>
    <row r="110" spans="2:48" x14ac:dyDescent="0.2">
      <c r="B110" s="10"/>
      <c r="C110" s="137"/>
      <c r="D110" s="137"/>
      <c r="E110" s="149" t="s">
        <v>92</v>
      </c>
      <c r="F110" s="495">
        <f>'Budget Period 1'!F110</f>
        <v>0</v>
      </c>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7"/>
      <c r="AK110" s="458"/>
      <c r="AL110" s="458"/>
      <c r="AM110" s="458"/>
      <c r="AN110" s="459"/>
      <c r="AO110" s="137"/>
      <c r="AP110" s="137"/>
      <c r="AQ110" s="137"/>
      <c r="AR110" s="137"/>
      <c r="AS110" s="137"/>
      <c r="AT110" s="137"/>
      <c r="AU110" s="137"/>
      <c r="AV110" s="10"/>
    </row>
    <row r="111" spans="2:48" x14ac:dyDescent="0.2">
      <c r="B111" s="10"/>
      <c r="C111" s="137"/>
      <c r="D111" s="137"/>
      <c r="E111" s="149" t="s">
        <v>93</v>
      </c>
      <c r="F111" s="495">
        <f>'Budget Period 1'!F111</f>
        <v>0</v>
      </c>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7"/>
      <c r="AK111" s="458"/>
      <c r="AL111" s="458"/>
      <c r="AM111" s="458"/>
      <c r="AN111" s="459"/>
      <c r="AO111" s="137"/>
      <c r="AP111" s="137"/>
      <c r="AQ111" s="137"/>
      <c r="AR111" s="137"/>
      <c r="AS111" s="137"/>
      <c r="AT111" s="137"/>
      <c r="AU111" s="137"/>
      <c r="AV111" s="10"/>
    </row>
    <row r="112" spans="2:48" x14ac:dyDescent="0.2">
      <c r="B112" s="10"/>
      <c r="C112" s="137"/>
      <c r="D112" s="137"/>
      <c r="E112" s="149" t="s">
        <v>94</v>
      </c>
      <c r="F112" s="495">
        <f>'Budget Period 1'!F112</f>
        <v>0</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7"/>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759">
        <f>'Budget Period 1'!F113</f>
        <v>0</v>
      </c>
      <c r="G113" s="760"/>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391"/>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537">
        <f>SUM(AK103:AN107,AK109:AN113)</f>
        <v>0</v>
      </c>
      <c r="AQ114" s="538"/>
      <c r="AR114" s="538"/>
      <c r="AS114" s="538"/>
      <c r="AT114" s="539"/>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54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540">
        <f>Result_Tuition_Y2</f>
        <v>0</v>
      </c>
      <c r="AL125" s="540"/>
      <c r="AM125" s="540"/>
      <c r="AN125" s="541"/>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537">
        <f>SUM(AK117:AN129)</f>
        <v>0</v>
      </c>
      <c r="AQ130" s="538"/>
      <c r="AR130" s="538"/>
      <c r="AS130" s="538"/>
      <c r="AT130" s="539"/>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543">
        <f>SUM(AI32,AI42,AI52)</f>
        <v>0</v>
      </c>
      <c r="P134" s="544"/>
      <c r="Q134" s="544"/>
      <c r="R134" s="545"/>
      <c r="S134" s="137"/>
      <c r="T134" s="543">
        <f>SUM(AO32,AO42,AO52)</f>
        <v>0</v>
      </c>
      <c r="U134" s="544"/>
      <c r="V134" s="544"/>
      <c r="W134" s="545"/>
      <c r="X134" s="137"/>
      <c r="Y134" s="137"/>
      <c r="Z134" s="137"/>
      <c r="AA134" s="137"/>
      <c r="AB134" s="137"/>
      <c r="AC134" s="137"/>
      <c r="AD134" s="137"/>
      <c r="AE134" s="137"/>
      <c r="AF134" s="137"/>
      <c r="AG134" s="137"/>
      <c r="AH134" s="137"/>
      <c r="AI134" s="137"/>
      <c r="AJ134" s="137"/>
      <c r="AK134" s="137"/>
      <c r="AL134" s="137"/>
      <c r="AM134" s="137"/>
      <c r="AN134" s="137"/>
      <c r="AO134" s="137"/>
      <c r="AP134" s="537">
        <f>SUM(O134,T134)</f>
        <v>0</v>
      </c>
      <c r="AQ134" s="538"/>
      <c r="AR134" s="538"/>
      <c r="AS134" s="538"/>
      <c r="AT134" s="539"/>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569">
        <f>Result_EquipmentCost_Y2</f>
        <v>0</v>
      </c>
      <c r="P137" s="570"/>
      <c r="Q137" s="570"/>
      <c r="R137" s="571"/>
      <c r="S137" s="137"/>
      <c r="T137" s="569">
        <f>SUM(Result_TravelDomestic_Y2,Result_TravelForeign_Y2)</f>
        <v>0</v>
      </c>
      <c r="U137" s="570"/>
      <c r="V137" s="570"/>
      <c r="W137" s="571"/>
      <c r="X137" s="137"/>
      <c r="Y137" s="569">
        <f>Result_ParticipantCosts_Y2</f>
        <v>0</v>
      </c>
      <c r="Z137" s="570"/>
      <c r="AA137" s="570"/>
      <c r="AB137" s="571"/>
      <c r="AC137" s="137"/>
      <c r="AD137" s="569">
        <f>Result_SubawardCosts_Y2</f>
        <v>0</v>
      </c>
      <c r="AE137" s="570"/>
      <c r="AF137" s="570"/>
      <c r="AG137" s="571"/>
      <c r="AH137" s="137"/>
      <c r="AI137" s="569">
        <f>Result_OtherDirectCosts_Y2</f>
        <v>0</v>
      </c>
      <c r="AJ137" s="570"/>
      <c r="AK137" s="570"/>
      <c r="AL137" s="571"/>
      <c r="AM137" s="137"/>
      <c r="AN137" s="137"/>
      <c r="AO137" s="137"/>
      <c r="AP137" s="537">
        <f>SUM(O137,T137,Y137,AD137,AI137)</f>
        <v>0</v>
      </c>
      <c r="AQ137" s="538"/>
      <c r="AR137" s="538"/>
      <c r="AS137" s="538"/>
      <c r="AT137" s="539"/>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537">
        <f>SUM(Result_PersonnelCosts_Y2,Result_EquipmentCost_Y2,Result_TravelTotal_Y2,Result_ParticipantCosts_Y2,Result_SubawardCosts_Y2,Result_OtherDirectCosts_Y2)</f>
        <v>0</v>
      </c>
      <c r="AQ139" s="538"/>
      <c r="AR139" s="538"/>
      <c r="AS139" s="538"/>
      <c r="AT139" s="539"/>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572">
        <f>Result_TotalDirectCosts_Y2-Result_SubawardCosts_UW_Y2-IF(Data_Exclude_SalariesWages,Result_SalariesWages_Y2,0)-IF(Data_Exclude_Fringes,Result_FringeBenefits_Y2,0)-IF(Data_Exclude_Tuition,Result_TuitionTOTAL_Y2,0)-IF(Data_Exclude_Equipment,Result_EquipmentCost_Y2,0)-IF(Data_Exclude_Travel,Result_TravelTotal_Y2,0)-IF(Data_Exclude_ParticipantCosts,Result_ParticipantCosts_Y2,0)-IF(Data_Exclude_NonUWSubawards,Result_SubawardCosts_NonUW_Y2,IF(Data_Exclude_NonUWSubawardsExceeding25K,Result_SubawardCosts_NonUW_Y2-Result_SubawardBase_Y2_TOTAL,0))-IF(Data_Exclude_OtherCosts,Result_OtherDirectCosts_Y2-Result_TuitionTOTAL_Y2,0)</f>
        <v>0</v>
      </c>
      <c r="AQ140" s="572"/>
      <c r="AR140" s="572"/>
      <c r="AS140" s="137"/>
      <c r="AT140" s="137"/>
      <c r="AU140" s="137"/>
      <c r="AV140" s="10"/>
    </row>
    <row r="141" spans="2:48" x14ac:dyDescent="0.2">
      <c r="B141" s="10"/>
      <c r="C141" s="137"/>
      <c r="D141" s="137"/>
      <c r="E141" s="137"/>
      <c r="F141" s="137" t="s">
        <v>208</v>
      </c>
      <c r="G141" s="137"/>
      <c r="H141" s="137"/>
      <c r="I141" s="137"/>
      <c r="J141" s="137"/>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537">
        <f>CHOOSE('Drop-Down_Options'!E14,0,Result_TotalDirectCosts_Y2 - Result_SubawardCosts_UW_Y2,(Result_TotalDirectCosts_Y2-Result_EquipmentCost_Y2-Result_ParticipantCosts_Y2-Result_TuitionTOTAL_Y2-(Result_SubawardCosts_Y2-Result_SubawardBase_Y2_TOTAL)),AP140)</f>
        <v>0</v>
      </c>
      <c r="AQ141" s="538"/>
      <c r="AR141" s="538"/>
      <c r="AS141" s="538"/>
      <c r="AT141" s="539"/>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537">
        <f>AP141*FA_Rate_Y2</f>
        <v>0</v>
      </c>
      <c r="AQ143" s="538"/>
      <c r="AR143" s="538"/>
      <c r="AS143" s="538"/>
      <c r="AT143" s="539"/>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165</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537">
        <f>SUM(Result_TotalDirectCosts_Y2,Result_IndirectCosts_Y2)</f>
        <v>0</v>
      </c>
      <c r="AQ145" s="538"/>
      <c r="AR145" s="538"/>
      <c r="AS145" s="538"/>
      <c r="AT145" s="539"/>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S150" s="22"/>
    </row>
  </sheetData>
  <sheetProtection algorithmName="SHA-512" hashValue="p/S4C/5LlqsFJIRHROoYV9pNjITBjW8QDQBZD3LDU4x+h2UdOGO2LdEfUc1HPUnYW0WlerqDEQ6wvzEBlOUlQA==" saltValue="tuVKcecP4Z9IBrscG8RGCw==" spinCount="100000" sheet="1" selectLockedCells="1"/>
  <mergeCells count="517">
    <mergeCell ref="AB35:AD35"/>
    <mergeCell ref="AQ39:AT39"/>
    <mergeCell ref="AQ40:AT40"/>
    <mergeCell ref="F36:AA36"/>
    <mergeCell ref="F37:AA37"/>
    <mergeCell ref="F38:AA38"/>
    <mergeCell ref="AB36:AD36"/>
    <mergeCell ref="AB37:AD37"/>
    <mergeCell ref="AB38:AD38"/>
    <mergeCell ref="AB39:AD39"/>
    <mergeCell ref="AB40:AD40"/>
    <mergeCell ref="F107:AF107"/>
    <mergeCell ref="F104:AF104"/>
    <mergeCell ref="AK107:AN107"/>
    <mergeCell ref="F112:AJ112"/>
    <mergeCell ref="AG107:AJ107"/>
    <mergeCell ref="AP145:AT145"/>
    <mergeCell ref="F109:AJ109"/>
    <mergeCell ref="F110:AJ110"/>
    <mergeCell ref="F118:L118"/>
    <mergeCell ref="M118:AJ118"/>
    <mergeCell ref="AK118:AN118"/>
    <mergeCell ref="M119:AJ119"/>
    <mergeCell ref="AK119:AN119"/>
    <mergeCell ref="O136:R136"/>
    <mergeCell ref="T136:W136"/>
    <mergeCell ref="Y136:AB136"/>
    <mergeCell ref="F105:AF105"/>
    <mergeCell ref="AK106:AN106"/>
    <mergeCell ref="AG105:AJ105"/>
    <mergeCell ref="F113:AJ113"/>
    <mergeCell ref="AP143:AT143"/>
    <mergeCell ref="AP140:AR140"/>
    <mergeCell ref="AP130:AT130"/>
    <mergeCell ref="AK113:AN113"/>
    <mergeCell ref="F11:K11"/>
    <mergeCell ref="AD13:AF13"/>
    <mergeCell ref="AG13:AH13"/>
    <mergeCell ref="AI13:AL13"/>
    <mergeCell ref="AK110:AN110"/>
    <mergeCell ref="AM36:AN36"/>
    <mergeCell ref="AM37:AN37"/>
    <mergeCell ref="AM38:AN38"/>
    <mergeCell ref="AM39:AN39"/>
    <mergeCell ref="AM40:AN40"/>
    <mergeCell ref="S42:W42"/>
    <mergeCell ref="X42:AA42"/>
    <mergeCell ref="F39:AA39"/>
    <mergeCell ref="F40:AA40"/>
    <mergeCell ref="F103:AF103"/>
    <mergeCell ref="F102:AF102"/>
    <mergeCell ref="AI40:AL40"/>
    <mergeCell ref="F13:K13"/>
    <mergeCell ref="F35:AA35"/>
    <mergeCell ref="L11:N11"/>
    <mergeCell ref="AG11:AH11"/>
    <mergeCell ref="AI11:AL11"/>
    <mergeCell ref="AM11:AN11"/>
    <mergeCell ref="L12:N12"/>
    <mergeCell ref="C4:AU4"/>
    <mergeCell ref="F10:K10"/>
    <mergeCell ref="L10:N10"/>
    <mergeCell ref="O10:T10"/>
    <mergeCell ref="U10:X10"/>
    <mergeCell ref="Y10:AA10"/>
    <mergeCell ref="V5:AF5"/>
    <mergeCell ref="AB10:AC10"/>
    <mergeCell ref="AD10:AF10"/>
    <mergeCell ref="AM10:AN10"/>
    <mergeCell ref="AG5:AT6"/>
    <mergeCell ref="V6:AF6"/>
    <mergeCell ref="R8:AT9"/>
    <mergeCell ref="AO10:AP10"/>
    <mergeCell ref="AQ10:AT10"/>
    <mergeCell ref="AG10:AH10"/>
    <mergeCell ref="AI10:AL10"/>
    <mergeCell ref="AQ11:AT11"/>
    <mergeCell ref="U11:X11"/>
    <mergeCell ref="AB11:AC11"/>
    <mergeCell ref="AD11:AF11"/>
    <mergeCell ref="AQ12:AT12"/>
    <mergeCell ref="U12:X12"/>
    <mergeCell ref="AM12:AN12"/>
    <mergeCell ref="AO12:AP12"/>
    <mergeCell ref="L13:N13"/>
    <mergeCell ref="O13:T13"/>
    <mergeCell ref="U13:X13"/>
    <mergeCell ref="AB13:AC13"/>
    <mergeCell ref="AM13:AN13"/>
    <mergeCell ref="AO13:AP13"/>
    <mergeCell ref="AO11:AP11"/>
    <mergeCell ref="AB12:AC12"/>
    <mergeCell ref="AD12:AF12"/>
    <mergeCell ref="O11:T11"/>
    <mergeCell ref="O12:T12"/>
    <mergeCell ref="AG12:AH12"/>
    <mergeCell ref="AI12:AL12"/>
    <mergeCell ref="O14:T14"/>
    <mergeCell ref="U14:X14"/>
    <mergeCell ref="AB14:AC14"/>
    <mergeCell ref="AD14:AF14"/>
    <mergeCell ref="AG14:AH14"/>
    <mergeCell ref="AI14:AL14"/>
    <mergeCell ref="AM14:AN14"/>
    <mergeCell ref="AO14:AP14"/>
    <mergeCell ref="AQ14:AT14"/>
    <mergeCell ref="F12:K12"/>
    <mergeCell ref="AO17:AP17"/>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AQ13:AT13"/>
    <mergeCell ref="F14:K14"/>
    <mergeCell ref="L14:N14"/>
    <mergeCell ref="AD21:AF21"/>
    <mergeCell ref="AG21:AH21"/>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I21:AL21"/>
    <mergeCell ref="AM21:AN21"/>
    <mergeCell ref="AO21:AP21"/>
    <mergeCell ref="AG20:AH20"/>
    <mergeCell ref="AI20:AL20"/>
    <mergeCell ref="AM20:AN20"/>
    <mergeCell ref="AO20:AP20"/>
    <mergeCell ref="F24:K24"/>
    <mergeCell ref="L24:N24"/>
    <mergeCell ref="O24:T24"/>
    <mergeCell ref="U24:X24"/>
    <mergeCell ref="AM22:AN22"/>
    <mergeCell ref="AO22:AP22"/>
    <mergeCell ref="AB24:AC24"/>
    <mergeCell ref="AD24:AF24"/>
    <mergeCell ref="AG24:AH24"/>
    <mergeCell ref="AI24:AL24"/>
    <mergeCell ref="AM24:AN24"/>
    <mergeCell ref="AO24:AP24"/>
    <mergeCell ref="F21:K21"/>
    <mergeCell ref="L21:N21"/>
    <mergeCell ref="O21:T21"/>
    <mergeCell ref="U21:X21"/>
    <mergeCell ref="AB21:AC21"/>
    <mergeCell ref="AQ22:AT22"/>
    <mergeCell ref="F23:K23"/>
    <mergeCell ref="L23:N23"/>
    <mergeCell ref="O23:T23"/>
    <mergeCell ref="U23:X23"/>
    <mergeCell ref="AB23:AC23"/>
    <mergeCell ref="AD23:AF23"/>
    <mergeCell ref="F22:K22"/>
    <mergeCell ref="L22:N22"/>
    <mergeCell ref="O22:T22"/>
    <mergeCell ref="U22:X22"/>
    <mergeCell ref="AB22:AC22"/>
    <mergeCell ref="AD22:AF22"/>
    <mergeCell ref="AG22:AH22"/>
    <mergeCell ref="AI22:AL22"/>
    <mergeCell ref="AG23:AH23"/>
    <mergeCell ref="AI23:AL23"/>
    <mergeCell ref="AM23:AN23"/>
    <mergeCell ref="AO23:AP23"/>
    <mergeCell ref="AM25:AN25"/>
    <mergeCell ref="AO25:AP25"/>
    <mergeCell ref="AQ25:AT25"/>
    <mergeCell ref="F26:K26"/>
    <mergeCell ref="L26:N26"/>
    <mergeCell ref="O26:T26"/>
    <mergeCell ref="U26:X26"/>
    <mergeCell ref="AB26:AC26"/>
    <mergeCell ref="AD26:AF26"/>
    <mergeCell ref="F25:K25"/>
    <mergeCell ref="L25:N25"/>
    <mergeCell ref="O25:T25"/>
    <mergeCell ref="U25:X25"/>
    <mergeCell ref="AB25:AC25"/>
    <mergeCell ref="AD25:AF25"/>
    <mergeCell ref="AG25:AH25"/>
    <mergeCell ref="AI25:AL25"/>
    <mergeCell ref="AM27:AN27"/>
    <mergeCell ref="AO27:AP27"/>
    <mergeCell ref="AG26:AH26"/>
    <mergeCell ref="AI26:AL26"/>
    <mergeCell ref="AM26:AN26"/>
    <mergeCell ref="AO26:AP26"/>
    <mergeCell ref="F30:K30"/>
    <mergeCell ref="L30:N30"/>
    <mergeCell ref="O30:T30"/>
    <mergeCell ref="U30:X30"/>
    <mergeCell ref="AB30:AC30"/>
    <mergeCell ref="AD30:AF30"/>
    <mergeCell ref="AM28:AN28"/>
    <mergeCell ref="AO28:AP28"/>
    <mergeCell ref="F27:K27"/>
    <mergeCell ref="L27:N27"/>
    <mergeCell ref="O27:T27"/>
    <mergeCell ref="U27:X27"/>
    <mergeCell ref="AB27:AC27"/>
    <mergeCell ref="AD27:AF27"/>
    <mergeCell ref="AG27:AH27"/>
    <mergeCell ref="F29:K29"/>
    <mergeCell ref="L29:N29"/>
    <mergeCell ref="O29:T29"/>
    <mergeCell ref="U29:X29"/>
    <mergeCell ref="AB29:AC29"/>
    <mergeCell ref="AD29:AF29"/>
    <mergeCell ref="AG29:AH29"/>
    <mergeCell ref="F28:K28"/>
    <mergeCell ref="L28:N28"/>
    <mergeCell ref="O28:T28"/>
    <mergeCell ref="U28:X28"/>
    <mergeCell ref="AB28:AC28"/>
    <mergeCell ref="AD28:AF28"/>
    <mergeCell ref="AG28:AH28"/>
    <mergeCell ref="AM42:AN42"/>
    <mergeCell ref="AO42:AP42"/>
    <mergeCell ref="AO40:AP40"/>
    <mergeCell ref="AO46:AP46"/>
    <mergeCell ref="AM45:AN45"/>
    <mergeCell ref="AO45:AP45"/>
    <mergeCell ref="AQ42:AT42"/>
    <mergeCell ref="AF35:AH35"/>
    <mergeCell ref="AI35:AL35"/>
    <mergeCell ref="AM35:AN35"/>
    <mergeCell ref="AO35:AP35"/>
    <mergeCell ref="AQ35:AT35"/>
    <mergeCell ref="AO36:AP36"/>
    <mergeCell ref="AO37:AP37"/>
    <mergeCell ref="AO38:AP38"/>
    <mergeCell ref="AO39:AP39"/>
    <mergeCell ref="AQ45:AT45"/>
    <mergeCell ref="AI45:AL45"/>
    <mergeCell ref="AI37:AL37"/>
    <mergeCell ref="AI38:AL38"/>
    <mergeCell ref="AI39:AL39"/>
    <mergeCell ref="AQ36:AT36"/>
    <mergeCell ref="AQ37:AT37"/>
    <mergeCell ref="AQ38:AT38"/>
    <mergeCell ref="F48:Q48"/>
    <mergeCell ref="R48:T48"/>
    <mergeCell ref="U48:W48"/>
    <mergeCell ref="AI48:AL48"/>
    <mergeCell ref="AM48:AN48"/>
    <mergeCell ref="U49:W49"/>
    <mergeCell ref="AI49:AL49"/>
    <mergeCell ref="U45:W45"/>
    <mergeCell ref="AQ47:AT47"/>
    <mergeCell ref="AQ46:AT46"/>
    <mergeCell ref="F45:Q45"/>
    <mergeCell ref="R45:T45"/>
    <mergeCell ref="AO48:AP48"/>
    <mergeCell ref="AQ48:AT48"/>
    <mergeCell ref="F47:Q47"/>
    <mergeCell ref="R47:T47"/>
    <mergeCell ref="U47:W47"/>
    <mergeCell ref="AM47:AN47"/>
    <mergeCell ref="F46:Q46"/>
    <mergeCell ref="R46:T46"/>
    <mergeCell ref="U46:W46"/>
    <mergeCell ref="AI46:AL46"/>
    <mergeCell ref="AM46:AN46"/>
    <mergeCell ref="AI47:AL47"/>
    <mergeCell ref="AQ50:AT50"/>
    <mergeCell ref="F49:Q49"/>
    <mergeCell ref="R49:T49"/>
    <mergeCell ref="AI52:AL52"/>
    <mergeCell ref="AM52:AN52"/>
    <mergeCell ref="AO52:AP52"/>
    <mergeCell ref="AQ52:AT52"/>
    <mergeCell ref="F50:Q50"/>
    <mergeCell ref="R50:T50"/>
    <mergeCell ref="U50:W50"/>
    <mergeCell ref="AI50:AL50"/>
    <mergeCell ref="AM50:AN50"/>
    <mergeCell ref="AO50:AP50"/>
    <mergeCell ref="AQ49:AT49"/>
    <mergeCell ref="F58:AJ58"/>
    <mergeCell ref="AK58:AN58"/>
    <mergeCell ref="F59:AJ59"/>
    <mergeCell ref="AK59:AN59"/>
    <mergeCell ref="F60:AJ60"/>
    <mergeCell ref="AK60:AN60"/>
    <mergeCell ref="F55:AJ55"/>
    <mergeCell ref="AK55:AN55"/>
    <mergeCell ref="F56:AJ56"/>
    <mergeCell ref="AK56:AN56"/>
    <mergeCell ref="F57:AJ57"/>
    <mergeCell ref="AK57:AN57"/>
    <mergeCell ref="F64:AJ64"/>
    <mergeCell ref="AK64:AN64"/>
    <mergeCell ref="F65:AJ65"/>
    <mergeCell ref="AK65:AN65"/>
    <mergeCell ref="AP66:AT66"/>
    <mergeCell ref="F68:AJ68"/>
    <mergeCell ref="AK68:AN68"/>
    <mergeCell ref="F61:AJ61"/>
    <mergeCell ref="AK61:AN61"/>
    <mergeCell ref="F62:AJ62"/>
    <mergeCell ref="AK62:AN62"/>
    <mergeCell ref="F63:AJ63"/>
    <mergeCell ref="AK63:AN63"/>
    <mergeCell ref="F72:AJ72"/>
    <mergeCell ref="AK72:AN72"/>
    <mergeCell ref="F73:AJ73"/>
    <mergeCell ref="AK73:AN73"/>
    <mergeCell ref="F74:AJ74"/>
    <mergeCell ref="AK74:AN74"/>
    <mergeCell ref="F69:AJ69"/>
    <mergeCell ref="AK69:AN69"/>
    <mergeCell ref="F70:AJ70"/>
    <mergeCell ref="AK70:AN70"/>
    <mergeCell ref="F71:AJ71"/>
    <mergeCell ref="AK71:AN71"/>
    <mergeCell ref="F78:AJ78"/>
    <mergeCell ref="AK78:AN78"/>
    <mergeCell ref="F79:AJ79"/>
    <mergeCell ref="AK79:AN79"/>
    <mergeCell ref="F80:AJ80"/>
    <mergeCell ref="AK80:AN80"/>
    <mergeCell ref="F75:AJ75"/>
    <mergeCell ref="AK75:AN75"/>
    <mergeCell ref="F76:AJ76"/>
    <mergeCell ref="AK76:AN76"/>
    <mergeCell ref="F77:AJ77"/>
    <mergeCell ref="AK77:AN77"/>
    <mergeCell ref="F84:AJ84"/>
    <mergeCell ref="AK84:AN84"/>
    <mergeCell ref="F85:AJ85"/>
    <mergeCell ref="AK85:AN85"/>
    <mergeCell ref="AP86:AT86"/>
    <mergeCell ref="AP87:AT87"/>
    <mergeCell ref="F81:AJ81"/>
    <mergeCell ref="AK81:AN81"/>
    <mergeCell ref="F82:AJ82"/>
    <mergeCell ref="AK82:AN82"/>
    <mergeCell ref="F83:AJ83"/>
    <mergeCell ref="AK83:AN83"/>
    <mergeCell ref="AK95:AN95"/>
    <mergeCell ref="M92:AJ92"/>
    <mergeCell ref="F89:AJ89"/>
    <mergeCell ref="AK89:AN89"/>
    <mergeCell ref="AK90:AN90"/>
    <mergeCell ref="AK91:AN91"/>
    <mergeCell ref="F90:L90"/>
    <mergeCell ref="F91:L91"/>
    <mergeCell ref="M90:AJ90"/>
    <mergeCell ref="M91:AJ91"/>
    <mergeCell ref="AP100:AT100"/>
    <mergeCell ref="AK102:AN102"/>
    <mergeCell ref="AK103:AN103"/>
    <mergeCell ref="AK104:AN104"/>
    <mergeCell ref="AK105:AN105"/>
    <mergeCell ref="AG103:AJ103"/>
    <mergeCell ref="AG104:AJ104"/>
    <mergeCell ref="AG102:AJ102"/>
    <mergeCell ref="AK96:AN96"/>
    <mergeCell ref="AK97:AN97"/>
    <mergeCell ref="AK98:AN98"/>
    <mergeCell ref="AK99:AN99"/>
    <mergeCell ref="AP114:AT114"/>
    <mergeCell ref="M127:AJ127"/>
    <mergeCell ref="T134:W134"/>
    <mergeCell ref="AK129:AN129"/>
    <mergeCell ref="O133:R133"/>
    <mergeCell ref="AD136:AG136"/>
    <mergeCell ref="AI136:AL136"/>
    <mergeCell ref="AP141:AT141"/>
    <mergeCell ref="AP139:AT139"/>
    <mergeCell ref="O137:R137"/>
    <mergeCell ref="T137:W137"/>
    <mergeCell ref="Y137:AB137"/>
    <mergeCell ref="T133:W133"/>
    <mergeCell ref="AK127:AN127"/>
    <mergeCell ref="M124:AJ124"/>
    <mergeCell ref="AK124:AN124"/>
    <mergeCell ref="M117:AJ117"/>
    <mergeCell ref="AK117:AN117"/>
    <mergeCell ref="AD137:AG137"/>
    <mergeCell ref="AI137:AL137"/>
    <mergeCell ref="AK125:AN125"/>
    <mergeCell ref="AO47:AP47"/>
    <mergeCell ref="AM49:AN49"/>
    <mergeCell ref="AO49:AP49"/>
    <mergeCell ref="AG50:AH50"/>
    <mergeCell ref="AP137:AT137"/>
    <mergeCell ref="F116:AJ116"/>
    <mergeCell ref="AK116:AN116"/>
    <mergeCell ref="O134:R134"/>
    <mergeCell ref="AP134:AT134"/>
    <mergeCell ref="AK112:AN112"/>
    <mergeCell ref="F111:AJ111"/>
    <mergeCell ref="M125:AJ125"/>
    <mergeCell ref="AK128:AN128"/>
    <mergeCell ref="F123:L123"/>
    <mergeCell ref="M123:AJ123"/>
    <mergeCell ref="AK123:AN123"/>
    <mergeCell ref="F126:L126"/>
    <mergeCell ref="M126:AJ126"/>
    <mergeCell ref="AK126:AN126"/>
    <mergeCell ref="F106:AF106"/>
    <mergeCell ref="AK109:AN109"/>
    <mergeCell ref="F108:AJ108"/>
    <mergeCell ref="F117:L117"/>
    <mergeCell ref="F124:L124"/>
    <mergeCell ref="AG45:AH45"/>
    <mergeCell ref="AG46:AH46"/>
    <mergeCell ref="AG47:AH47"/>
    <mergeCell ref="AG48:AH48"/>
    <mergeCell ref="AG49:AH49"/>
    <mergeCell ref="AI36:AL36"/>
    <mergeCell ref="AF42:AH42"/>
    <mergeCell ref="AI42:AL42"/>
    <mergeCell ref="AF36:AH36"/>
    <mergeCell ref="AF37:AH37"/>
    <mergeCell ref="AF38:AH38"/>
    <mergeCell ref="AF39:AH39"/>
    <mergeCell ref="AF40:AH40"/>
    <mergeCell ref="AR3:AU3"/>
    <mergeCell ref="AI32:AL32"/>
    <mergeCell ref="AO32:AP32"/>
    <mergeCell ref="AQ32:AT32"/>
    <mergeCell ref="AI29:AL29"/>
    <mergeCell ref="AM29:AN29"/>
    <mergeCell ref="AO29:AP29"/>
    <mergeCell ref="AG30:AH30"/>
    <mergeCell ref="AI30:AL30"/>
    <mergeCell ref="AM30:AN30"/>
    <mergeCell ref="AO30:AP30"/>
    <mergeCell ref="AQ30:AT30"/>
    <mergeCell ref="AQ29:AT29"/>
    <mergeCell ref="AQ27:AT27"/>
    <mergeCell ref="AQ26:AT26"/>
    <mergeCell ref="AQ24:AT24"/>
    <mergeCell ref="AQ23:AT23"/>
    <mergeCell ref="AQ21:AT21"/>
    <mergeCell ref="AQ20:AT20"/>
    <mergeCell ref="AQ18:AT18"/>
    <mergeCell ref="AQ17:AT17"/>
    <mergeCell ref="AQ28:AT28"/>
    <mergeCell ref="AI28:AL28"/>
    <mergeCell ref="AI27:AL27"/>
    <mergeCell ref="F127:L129"/>
    <mergeCell ref="M129:AJ129"/>
    <mergeCell ref="M122:AJ122"/>
    <mergeCell ref="AK122:AN122"/>
    <mergeCell ref="M120:AJ120"/>
    <mergeCell ref="M121:AJ121"/>
    <mergeCell ref="AK120:AN120"/>
    <mergeCell ref="AK121:AN121"/>
    <mergeCell ref="F92:L99"/>
    <mergeCell ref="M93:AJ93"/>
    <mergeCell ref="M94:AJ94"/>
    <mergeCell ref="M95:AJ95"/>
    <mergeCell ref="M96:AJ96"/>
    <mergeCell ref="M97:AJ97"/>
    <mergeCell ref="M98:AJ98"/>
    <mergeCell ref="M99:AJ99"/>
    <mergeCell ref="F119:L122"/>
    <mergeCell ref="F125:L125"/>
    <mergeCell ref="AK108:AN108"/>
    <mergeCell ref="AG106:AJ106"/>
    <mergeCell ref="AK111:AN111"/>
    <mergeCell ref="AK92:AN92"/>
    <mergeCell ref="AK93:AN93"/>
    <mergeCell ref="AK94:AN94"/>
  </mergeCells>
  <conditionalFormatting sqref="U6">
    <cfRule type="cellIs" dxfId="110" priority="30" stopIfTrue="1" operator="equal">
      <formula>0</formula>
    </cfRule>
  </conditionalFormatting>
  <conditionalFormatting sqref="AB11:AC30">
    <cfRule type="expression" dxfId="109" priority="28" stopIfTrue="1">
      <formula>OR(AND($Y11=3,$AB11&gt;3),AND($Y11=2,$AB11&gt;9),AND($Y11=4,$AB11&gt;12))</formula>
    </cfRule>
  </conditionalFormatting>
  <conditionalFormatting sqref="AG11:AH30">
    <cfRule type="expression" dxfId="108" priority="26" stopIfTrue="1">
      <formula>OR($U11="",$AB11="",$AD11="")</formula>
    </cfRule>
  </conditionalFormatting>
  <conditionalFormatting sqref="AI11:AL30">
    <cfRule type="expression" dxfId="107" priority="25" stopIfTrue="1">
      <formula>OR($U11="",$AB11="",$AD11="")</formula>
    </cfRule>
  </conditionalFormatting>
  <conditionalFormatting sqref="AM11:AN30">
    <cfRule type="expression" dxfId="106" priority="24" stopIfTrue="1">
      <formula>OR($U11="",$AB11="",$AD11="")</formula>
    </cfRule>
  </conditionalFormatting>
  <conditionalFormatting sqref="AO11:AP30">
    <cfRule type="expression" dxfId="105" priority="23" stopIfTrue="1">
      <formula>OR($U11="",$AB11="",$AD11="")</formula>
    </cfRule>
  </conditionalFormatting>
  <conditionalFormatting sqref="AQ11:AT30">
    <cfRule type="expression" dxfId="104" priority="22" stopIfTrue="1">
      <formula>OR($U11="",$AB11="",$AD11="")</formula>
    </cfRule>
  </conditionalFormatting>
  <conditionalFormatting sqref="F11:F30">
    <cfRule type="expression" dxfId="103" priority="20" stopIfTrue="1">
      <formula>F11=0</formula>
    </cfRule>
  </conditionalFormatting>
  <conditionalFormatting sqref="F103:F107 AG103:AG107 F109:AJ113">
    <cfRule type="cellIs" dxfId="102" priority="18" stopIfTrue="1" operator="equal">
      <formula>0</formula>
    </cfRule>
  </conditionalFormatting>
  <conditionalFormatting sqref="AI46:AT50">
    <cfRule type="expression" dxfId="101" priority="11" stopIfTrue="1">
      <formula>$U46=""</formula>
    </cfRule>
  </conditionalFormatting>
  <conditionalFormatting sqref="AG46:AG50 AH46">
    <cfRule type="expression" dxfId="100" priority="10" stopIfTrue="1">
      <formula>$U46=""</formula>
    </cfRule>
  </conditionalFormatting>
  <conditionalFormatting sqref="AD11:AF30">
    <cfRule type="expression" dxfId="99" priority="8" stopIfTrue="1">
      <formula>$AD11&gt;100%</formula>
    </cfRule>
  </conditionalFormatting>
  <conditionalFormatting sqref="AF36:AT40">
    <cfRule type="expression" dxfId="98" priority="5" stopIfTrue="1">
      <formula>$AB36=""</formula>
    </cfRule>
  </conditionalFormatting>
  <conditionalFormatting sqref="V5:AT6">
    <cfRule type="cellIs" dxfId="97" priority="3" stopIfTrue="1" operator="lessThanOrEqual">
      <formula>0</formula>
    </cfRule>
  </conditionalFormatting>
  <conditionalFormatting sqref="U11:X30">
    <cfRule type="expression" dxfId="96" priority="2">
      <formula>$AA11&lt;&gt;""</formula>
    </cfRule>
  </conditionalFormatting>
  <conditionalFormatting sqref="R8:AT9">
    <cfRule type="expression" dxfId="95" priority="1">
      <formula>SUM($AA$11:$AA$30)&gt;0</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3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300-000001000000}">
      <formula1>0</formula1>
    </dataValidation>
    <dataValidation type="decimal" allowBlank="1" showInputMessage="1" showErrorMessage="1" errorTitle="Invalid % Effort Input" error="Percent Effort must be an decimal value greater than or equal to zero.  Click RETRY to change your entry, or CANCEL to undo your changes." sqref="AD11:AF30" xr:uid="{00000000-0002-0000-03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3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3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46:E50 E56:E65 E69:E76 E78:E85 E90:E99 E103:E107 E109:E113 E36:E40 E117:E129" numberStoredAsText="1"/>
    <ignoredError sqref="F11:K30" formulaRange="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7" r:id="rId4"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6186" r:id="rId5" name="Drop Down 4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6187" r:id="rId6" name="Drop Down 4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6188" r:id="rId7" name="Drop Down 4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6189" r:id="rId8" name="Drop Down 4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6190" r:id="rId9" name="Drop Down 4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6191" r:id="rId10" name="Drop Down 4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6192" r:id="rId11" name="Drop Down 4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6193" r:id="rId12" name="Drop Down 4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6194" r:id="rId13" name="Drop Down 5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6195" r:id="rId14" name="Drop Down 5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6196" r:id="rId15" name="Drop Down 5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6197" r:id="rId16" name="Drop Down 5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6198" r:id="rId17" name="Drop Down 5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6199" r:id="rId18" name="Drop Down 5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6200" r:id="rId19" name="Drop Down 5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6201" r:id="rId20" name="Drop Down 5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6202" r:id="rId21" name="Drop Down 5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6203" r:id="rId22" name="Drop Down 5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6204" r:id="rId23" name="Drop Down 6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6244" r:id="rId24" name="Drop Down 100">
              <controlPr defaultSize="0" autoLine="0" autoPict="0">
                <anchor moveWithCells="1" sizeWithCells="1">
                  <from>
                    <xdr:col>17</xdr:col>
                    <xdr:colOff>180975</xdr:colOff>
                    <xdr:row>36</xdr:row>
                    <xdr:rowOff>9525</xdr:rowOff>
                  </from>
                  <to>
                    <xdr:col>26</xdr:col>
                    <xdr:colOff>228600</xdr:colOff>
                    <xdr:row>36</xdr:row>
                    <xdr:rowOff>238125</xdr:rowOff>
                  </to>
                </anchor>
              </controlPr>
            </control>
          </mc:Choice>
        </mc:AlternateContent>
        <mc:AlternateContent xmlns:mc="http://schemas.openxmlformats.org/markup-compatibility/2006">
          <mc:Choice Requires="x14">
            <control shapeId="6245" r:id="rId25" name="Drop Down 101">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6246" r:id="rId26" name="Drop Down 102">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6247" r:id="rId27" name="Drop Down 103">
              <controlPr defaultSize="0" autoLine="0" autoPict="0">
                <anchor moveWithCells="1" sizeWithCells="1">
                  <from>
                    <xdr:col>17</xdr:col>
                    <xdr:colOff>180975</xdr:colOff>
                    <xdr:row>37</xdr:row>
                    <xdr:rowOff>9525</xdr:rowOff>
                  </from>
                  <to>
                    <xdr:col>26</xdr:col>
                    <xdr:colOff>228600</xdr:colOff>
                    <xdr:row>37</xdr:row>
                    <xdr:rowOff>238125</xdr:rowOff>
                  </to>
                </anchor>
              </controlPr>
            </control>
          </mc:Choice>
        </mc:AlternateContent>
        <mc:AlternateContent xmlns:mc="http://schemas.openxmlformats.org/markup-compatibility/2006">
          <mc:Choice Requires="x14">
            <control shapeId="6248" r:id="rId28" name="Drop Down 104">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6249" r:id="rId29" name="Drop Down 105">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6250" r:id="rId30" name="Drop Down 106">
              <controlPr defaultSize="0" autoLine="0" autoPict="0">
                <anchor moveWithCells="1" sizeWithCells="1">
                  <from>
                    <xdr:col>17</xdr:col>
                    <xdr:colOff>180975</xdr:colOff>
                    <xdr:row>38</xdr:row>
                    <xdr:rowOff>9525</xdr:rowOff>
                  </from>
                  <to>
                    <xdr:col>26</xdr:col>
                    <xdr:colOff>228600</xdr:colOff>
                    <xdr:row>38</xdr:row>
                    <xdr:rowOff>238125</xdr:rowOff>
                  </to>
                </anchor>
              </controlPr>
            </control>
          </mc:Choice>
        </mc:AlternateContent>
        <mc:AlternateContent xmlns:mc="http://schemas.openxmlformats.org/markup-compatibility/2006">
          <mc:Choice Requires="x14">
            <control shapeId="6251" r:id="rId31" name="Drop Down 107">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6252" r:id="rId32" name="Drop Down 108">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6253" r:id="rId33" name="Drop Down 109">
              <controlPr defaultSize="0" autoLine="0" autoPict="0">
                <anchor moveWithCells="1" sizeWithCells="1">
                  <from>
                    <xdr:col>17</xdr:col>
                    <xdr:colOff>180975</xdr:colOff>
                    <xdr:row>39</xdr:row>
                    <xdr:rowOff>9525</xdr:rowOff>
                  </from>
                  <to>
                    <xdr:col>26</xdr:col>
                    <xdr:colOff>228600</xdr:colOff>
                    <xdr:row>39</xdr:row>
                    <xdr:rowOff>238125</xdr:rowOff>
                  </to>
                </anchor>
              </controlPr>
            </control>
          </mc:Choice>
        </mc:AlternateContent>
        <mc:AlternateContent xmlns:mc="http://schemas.openxmlformats.org/markup-compatibility/2006">
          <mc:Choice Requires="x14">
            <control shapeId="6254" r:id="rId34" name="Drop Down 110">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6255" r:id="rId35" name="Drop Down 111">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6241" r:id="rId36" name="Drop Down 97">
              <controlPr defaultSize="0" autoLine="0" autoPict="0">
                <anchor moveWithCells="1" sizeWithCells="1">
                  <from>
                    <xdr:col>17</xdr:col>
                    <xdr:colOff>180975</xdr:colOff>
                    <xdr:row>35</xdr:row>
                    <xdr:rowOff>9525</xdr:rowOff>
                  </from>
                  <to>
                    <xdr:col>26</xdr:col>
                    <xdr:colOff>228600</xdr:colOff>
                    <xdr:row>35</xdr:row>
                    <xdr:rowOff>238125</xdr:rowOff>
                  </to>
                </anchor>
              </controlPr>
            </control>
          </mc:Choice>
        </mc:AlternateContent>
        <mc:AlternateContent xmlns:mc="http://schemas.openxmlformats.org/markup-compatibility/2006">
          <mc:Choice Requires="x14">
            <control shapeId="6242" r:id="rId37" name="Drop Down 98">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6243" r:id="rId38" name="Drop Down 99">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172</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IF(Data_ProjectStartDate&gt;=Var_EarliestProjectStartDate,TEXT(DATE(YEAR(Data_ProjectStartDate)+2,MONTH(Data_ProjectStartDate),DAY(Data_ProjectStartDate))," mmmm d, yyyy") &amp; " - " &amp; TEXT(DATE(YEAR(Data_ProjectStartDate)+3,MONTH(Data_ProjectStartDate),DAY(Data_ProjectStartDate)-1),"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ht="12.75" customHeight="1"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8"/>
      <c r="AE7" s="238"/>
      <c r="AF7" s="238"/>
      <c r="AG7" s="238"/>
      <c r="AH7" s="238"/>
      <c r="AI7" s="238"/>
      <c r="AJ7" s="238"/>
      <c r="AK7" s="238"/>
      <c r="AL7" s="238"/>
      <c r="AM7" s="238"/>
      <c r="AN7" s="238"/>
      <c r="AO7" s="238"/>
      <c r="AP7" s="238"/>
      <c r="AQ7" s="238"/>
      <c r="AR7" s="238"/>
      <c r="AS7" s="238"/>
      <c r="AT7" s="238"/>
      <c r="AU7" s="148"/>
      <c r="AV7" s="10"/>
    </row>
    <row r="8" spans="2:48" x14ac:dyDescent="0.2">
      <c r="B8" s="10"/>
      <c r="C8" s="137"/>
      <c r="D8" s="137"/>
      <c r="E8" s="137"/>
      <c r="F8" s="137"/>
      <c r="G8" s="137"/>
      <c r="H8" s="137"/>
      <c r="I8" s="137"/>
      <c r="J8" s="137"/>
      <c r="K8" s="137"/>
      <c r="L8" s="137"/>
      <c r="M8" s="137"/>
      <c r="N8" s="137"/>
      <c r="O8" s="137"/>
      <c r="P8" s="137" t="s">
        <v>446</v>
      </c>
      <c r="Q8" s="137"/>
      <c r="R8" s="613" t="str">
        <f>CONCATENATE("Please note: Post-docs, as exempt employees, must be paid $",Salary_MinimumFLSAPostDoc_Annual_Y3," annually (or $",Salary_MinimumFLSAPostDoc_Academic_Y3,"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743">
        <f>'Budget Period 1'!F11:K11</f>
        <v>0</v>
      </c>
      <c r="G11" s="744"/>
      <c r="H11" s="744"/>
      <c r="I11" s="744"/>
      <c r="J11" s="744"/>
      <c r="K11" s="745"/>
      <c r="L11" s="740" t="str">
        <f>CHOOSE('Budget Period 1'!L11,"",'Drop-Down_Options'!$B$25,'Drop-Down_Options'!$B$26,'Drop-Down_Options'!$B$27,'Drop-Down_Options'!$B$28)</f>
        <v/>
      </c>
      <c r="M11" s="741"/>
      <c r="N11" s="742"/>
      <c r="O11" s="740" t="str">
        <f>CHOOSE('Budget Period 1'!O11,"",'Drop-Down_Options'!$B$35,'Drop-Down_Options'!$B$36,"Classified","LTE")</f>
        <v/>
      </c>
      <c r="P11" s="741"/>
      <c r="Q11" s="741"/>
      <c r="R11" s="741"/>
      <c r="S11" s="741"/>
      <c r="T11" s="742"/>
      <c r="U11" s="737">
        <f>'Budget Period 2'!U11*(1+IF(L11="PI",Data_SalaryInflationRatePI,Data_SalaryInflationRate))</f>
        <v>0</v>
      </c>
      <c r="V11" s="738"/>
      <c r="W11" s="738"/>
      <c r="X11" s="739"/>
      <c r="Y11" s="113">
        <v>1</v>
      </c>
      <c r="Z11" s="116"/>
      <c r="AA11" s="321" t="str">
        <f t="shared" ref="AA11:AA30" si="0">IF(AND(L11="Post Doc",OR(AND(O11="Academic",U11&lt;Salary_MinimumFLSAPostDoc_Academic_Y3),AND(O11="Annual",U11&lt;Salary_MinimumFLSAPostDoc_Annual_Y3))),1,"")</f>
        <v/>
      </c>
      <c r="AB11" s="627"/>
      <c r="AC11" s="628"/>
      <c r="AD11" s="623"/>
      <c r="AE11" s="624"/>
      <c r="AF11" s="624"/>
      <c r="AG11" s="621">
        <f t="shared" ref="AG11:AG30" si="1">AB11*AD11</f>
        <v>0</v>
      </c>
      <c r="AH11" s="622"/>
      <c r="AI11" s="602">
        <f>(IF(OR('Budget Period 1'!L11&lt;2,'Budget Period 1'!O11&lt;2),0,IF(OR('Budget Period 1'!O11=4,'Budget Period 1'!O11=5),U11*2080/12*AB11*AD11,(U11/(CHOOSE('Budget Period 1'!O11,0,9,12,0,0))*AB11*AD11))))</f>
        <v>0</v>
      </c>
      <c r="AJ11" s="603"/>
      <c r="AK11" s="603"/>
      <c r="AL11" s="604"/>
      <c r="AM11" s="787">
        <f>IF(OR('Budget Period 1'!L11&lt;2,'Budget Period 1'!O11&lt;2),0,IF('Budget Period 1'!L11=4,FringeRate_Y3_PostDoc,CHOOSE('Budget Period 1'!O11,0,FringeRate_Y3_Faculty,FringeRate_Y3_Faculty,FringeRate_Y3_Classified,FringeRate_Y3_LTE)))</f>
        <v>0</v>
      </c>
      <c r="AN11" s="788"/>
      <c r="AO11" s="789">
        <f>AI11*AM11</f>
        <v>0</v>
      </c>
      <c r="AP11" s="790"/>
      <c r="AQ11" s="602">
        <f>AI11+AO11</f>
        <v>0</v>
      </c>
      <c r="AR11" s="603"/>
      <c r="AS11" s="603"/>
      <c r="AT11" s="611"/>
      <c r="AU11" s="137"/>
      <c r="AV11" s="10"/>
    </row>
    <row r="12" spans="2:48" ht="18" customHeight="1" thickBot="1" x14ac:dyDescent="0.25">
      <c r="B12" s="10"/>
      <c r="C12" s="137"/>
      <c r="D12" s="137"/>
      <c r="E12" s="149" t="s">
        <v>92</v>
      </c>
      <c r="F12" s="722">
        <f>'Budget Period 1'!F12:K12</f>
        <v>0</v>
      </c>
      <c r="G12" s="723"/>
      <c r="H12" s="723"/>
      <c r="I12" s="723"/>
      <c r="J12" s="723"/>
      <c r="K12" s="724"/>
      <c r="L12" s="725" t="str">
        <f>CHOOSE('Budget Period 1'!L12,"",'Drop-Down_Options'!$B$25,'Drop-Down_Options'!$B$26,'Drop-Down_Options'!$B$27,'Drop-Down_Options'!$B$28)</f>
        <v/>
      </c>
      <c r="M12" s="726"/>
      <c r="N12" s="727"/>
      <c r="O12" s="725" t="str">
        <f>CHOOSE('Budget Period 1'!O12,"",'Drop-Down_Options'!$B$35,'Drop-Down_Options'!$B$36,"Classified","LTE")</f>
        <v/>
      </c>
      <c r="P12" s="726"/>
      <c r="Q12" s="726"/>
      <c r="R12" s="726"/>
      <c r="S12" s="726"/>
      <c r="T12" s="727"/>
      <c r="U12" s="719">
        <f>'Budget Period 2'!U12*(1+IF(L12="PI",Data_SalaryInflationRatePI,Data_SalaryInflationRate))</f>
        <v>0</v>
      </c>
      <c r="V12" s="720"/>
      <c r="W12" s="720"/>
      <c r="X12" s="721"/>
      <c r="Y12" s="114">
        <v>1</v>
      </c>
      <c r="Z12" s="118"/>
      <c r="AA12" s="321" t="str">
        <f t="shared" si="0"/>
        <v/>
      </c>
      <c r="AB12" s="434"/>
      <c r="AC12" s="436"/>
      <c r="AD12" s="625"/>
      <c r="AE12" s="626"/>
      <c r="AF12" s="626"/>
      <c r="AG12" s="535">
        <f t="shared" si="1"/>
        <v>0</v>
      </c>
      <c r="AH12" s="536"/>
      <c r="AI12" s="530">
        <f>(IF(OR('Budget Period 1'!L12&lt;2,'Budget Period 1'!O12&lt;2),0,IF(OR('Budget Period 1'!O12=4,'Budget Period 1'!O12=5),U12*2080/12*AB12*AD12,(U12/(CHOOSE('Budget Period 1'!O12,0,9,12,0,0))*AB12*AD12))))</f>
        <v>0</v>
      </c>
      <c r="AJ12" s="531"/>
      <c r="AK12" s="531"/>
      <c r="AL12" s="532"/>
      <c r="AM12" s="783">
        <f>IF(OR('Budget Period 1'!L12&lt;2,'Budget Period 1'!O12&lt;2),0,IF('Budget Period 1'!L12=4,FringeRate_Y3_PostDoc,CHOOSE('Budget Period 1'!O12,0,FringeRate_Y3_Faculty,FringeRate_Y3_Faculty,FringeRate_Y3_Classified,FringeRate_Y3_LTE)))</f>
        <v>0</v>
      </c>
      <c r="AN12" s="784"/>
      <c r="AO12" s="785">
        <f t="shared" ref="AO12:AO30" si="2">AI12*AM12</f>
        <v>0</v>
      </c>
      <c r="AP12" s="786"/>
      <c r="AQ12" s="530">
        <f t="shared" ref="AQ12:AQ30" si="3">AI12+AO12</f>
        <v>0</v>
      </c>
      <c r="AR12" s="531"/>
      <c r="AS12" s="531"/>
      <c r="AT12" s="612"/>
      <c r="AU12" s="137"/>
      <c r="AV12" s="10"/>
    </row>
    <row r="13" spans="2:48" ht="18" customHeight="1" thickBot="1" x14ac:dyDescent="0.25">
      <c r="B13" s="10"/>
      <c r="C13" s="137"/>
      <c r="D13" s="137"/>
      <c r="E13" s="149" t="s">
        <v>93</v>
      </c>
      <c r="F13" s="722">
        <f>'Budget Period 1'!F13:K13</f>
        <v>0</v>
      </c>
      <c r="G13" s="723"/>
      <c r="H13" s="723"/>
      <c r="I13" s="723"/>
      <c r="J13" s="723"/>
      <c r="K13" s="724"/>
      <c r="L13" s="725" t="str">
        <f>CHOOSE('Budget Period 1'!L13,"",'Drop-Down_Options'!$B$25,'Drop-Down_Options'!$B$26,'Drop-Down_Options'!$B$27,'Drop-Down_Options'!$B$28)</f>
        <v/>
      </c>
      <c r="M13" s="726"/>
      <c r="N13" s="727"/>
      <c r="O13" s="725" t="str">
        <f>CHOOSE('Budget Period 1'!O13,"",'Drop-Down_Options'!$B$35,'Drop-Down_Options'!$B$36,"Classified","LTE")</f>
        <v/>
      </c>
      <c r="P13" s="791"/>
      <c r="Q13" s="791"/>
      <c r="R13" s="791"/>
      <c r="S13" s="791"/>
      <c r="T13" s="792"/>
      <c r="U13" s="719">
        <f>'Budget Period 2'!U13*(1+IF(L13="PI",Data_SalaryInflationRatePI,Data_SalaryInflationRate))</f>
        <v>0</v>
      </c>
      <c r="V13" s="720"/>
      <c r="W13" s="720"/>
      <c r="X13" s="721"/>
      <c r="Y13" s="114">
        <v>1</v>
      </c>
      <c r="Z13" s="118"/>
      <c r="AA13" s="321" t="str">
        <f t="shared" si="0"/>
        <v/>
      </c>
      <c r="AB13" s="434"/>
      <c r="AC13" s="436"/>
      <c r="AD13" s="625"/>
      <c r="AE13" s="626"/>
      <c r="AF13" s="626"/>
      <c r="AG13" s="535">
        <f t="shared" si="1"/>
        <v>0</v>
      </c>
      <c r="AH13" s="536"/>
      <c r="AI13" s="530">
        <f>(IF(OR('Budget Period 1'!L13&lt;2,'Budget Period 1'!O13&lt;2),0,IF(OR('Budget Period 1'!O13=4,'Budget Period 1'!O13=5),U13*2080/12*AB13*AD13,(U13/(CHOOSE('Budget Period 1'!O13,0,9,12,0,0))*AB13*AD13))))</f>
        <v>0</v>
      </c>
      <c r="AJ13" s="531"/>
      <c r="AK13" s="531"/>
      <c r="AL13" s="532"/>
      <c r="AM13" s="783">
        <f>IF(OR('Budget Period 1'!L13&lt;2,'Budget Period 1'!O13&lt;2),0,IF('Budget Period 1'!L13=4,FringeRate_Y3_PostDoc,CHOOSE('Budget Period 1'!O13,0,FringeRate_Y3_Faculty,FringeRate_Y3_Faculty,FringeRate_Y3_Classified,FringeRate_Y3_LTE)))</f>
        <v>0</v>
      </c>
      <c r="AN13" s="784"/>
      <c r="AO13" s="785">
        <f t="shared" si="2"/>
        <v>0</v>
      </c>
      <c r="AP13" s="786"/>
      <c r="AQ13" s="530">
        <f t="shared" si="3"/>
        <v>0</v>
      </c>
      <c r="AR13" s="531"/>
      <c r="AS13" s="531"/>
      <c r="AT13" s="612"/>
      <c r="AU13" s="137"/>
      <c r="AV13" s="10"/>
    </row>
    <row r="14" spans="2:48" ht="18" customHeight="1" thickBot="1" x14ac:dyDescent="0.25">
      <c r="B14" s="10"/>
      <c r="C14" s="137"/>
      <c r="D14" s="137"/>
      <c r="E14" s="149" t="s">
        <v>94</v>
      </c>
      <c r="F14" s="722">
        <f>'Budget Period 1'!F14:K14</f>
        <v>0</v>
      </c>
      <c r="G14" s="723"/>
      <c r="H14" s="723"/>
      <c r="I14" s="723"/>
      <c r="J14" s="723"/>
      <c r="K14" s="724"/>
      <c r="L14" s="725" t="str">
        <f>CHOOSE('Budget Period 1'!L14,"",'Drop-Down_Options'!$B$25,'Drop-Down_Options'!$B$26,'Drop-Down_Options'!$B$27,'Drop-Down_Options'!$B$28)</f>
        <v/>
      </c>
      <c r="M14" s="726"/>
      <c r="N14" s="727"/>
      <c r="O14" s="725" t="str">
        <f>CHOOSE('Budget Period 1'!O14,"",'Drop-Down_Options'!$B$35,'Drop-Down_Options'!$B$36,"Classified","LTE")</f>
        <v/>
      </c>
      <c r="P14" s="726"/>
      <c r="Q14" s="726"/>
      <c r="R14" s="726"/>
      <c r="S14" s="726"/>
      <c r="T14" s="727"/>
      <c r="U14" s="719">
        <f>'Budget Period 2'!U14*(1+IF(L14="PI",Data_SalaryInflationRatePI,Data_SalaryInflationRate))</f>
        <v>0</v>
      </c>
      <c r="V14" s="720"/>
      <c r="W14" s="720"/>
      <c r="X14" s="721"/>
      <c r="Y14" s="114">
        <v>1</v>
      </c>
      <c r="Z14" s="118"/>
      <c r="AA14" s="321" t="str">
        <f t="shared" si="0"/>
        <v/>
      </c>
      <c r="AB14" s="434"/>
      <c r="AC14" s="436"/>
      <c r="AD14" s="625"/>
      <c r="AE14" s="626"/>
      <c r="AF14" s="626"/>
      <c r="AG14" s="535">
        <f t="shared" si="1"/>
        <v>0</v>
      </c>
      <c r="AH14" s="536"/>
      <c r="AI14" s="530">
        <f>(IF(OR('Budget Period 1'!L14&lt;2,'Budget Period 1'!O14&lt;2),0,IF(OR('Budget Period 1'!O14=4,'Budget Period 1'!O14=5),U14*2080/12*AB14*AD14,(U14/(CHOOSE('Budget Period 1'!O14,0,9,12,0,0))*AB14*AD14))))</f>
        <v>0</v>
      </c>
      <c r="AJ14" s="531"/>
      <c r="AK14" s="531"/>
      <c r="AL14" s="532"/>
      <c r="AM14" s="783">
        <f>IF(OR('Budget Period 1'!L14&lt;2,'Budget Period 1'!O14&lt;2),0,IF('Budget Period 1'!L14=4,FringeRate_Y3_PostDoc,CHOOSE('Budget Period 1'!O14,0,FringeRate_Y3_Faculty,FringeRate_Y3_Faculty,FringeRate_Y3_Classified,FringeRate_Y3_LTE)))</f>
        <v>0</v>
      </c>
      <c r="AN14" s="784"/>
      <c r="AO14" s="785">
        <f t="shared" si="2"/>
        <v>0</v>
      </c>
      <c r="AP14" s="786"/>
      <c r="AQ14" s="530">
        <f t="shared" si="3"/>
        <v>0</v>
      </c>
      <c r="AR14" s="531"/>
      <c r="AS14" s="531"/>
      <c r="AT14" s="612"/>
      <c r="AU14" s="137"/>
      <c r="AV14" s="10"/>
    </row>
    <row r="15" spans="2:48" ht="18" customHeight="1" thickBot="1" x14ac:dyDescent="0.25">
      <c r="B15" s="10"/>
      <c r="C15" s="137"/>
      <c r="D15" s="137"/>
      <c r="E15" s="149" t="s">
        <v>95</v>
      </c>
      <c r="F15" s="722">
        <f>'Budget Period 1'!F15:K15</f>
        <v>0</v>
      </c>
      <c r="G15" s="723"/>
      <c r="H15" s="723"/>
      <c r="I15" s="723"/>
      <c r="J15" s="723"/>
      <c r="K15" s="724"/>
      <c r="L15" s="725" t="str">
        <f>CHOOSE('Budget Period 1'!L15,"",'Drop-Down_Options'!$B$25,'Drop-Down_Options'!$B$26,'Drop-Down_Options'!$B$27,'Drop-Down_Options'!$B$28)</f>
        <v/>
      </c>
      <c r="M15" s="726"/>
      <c r="N15" s="727"/>
      <c r="O15" s="725" t="str">
        <f>CHOOSE('Budget Period 1'!O15,"",'Drop-Down_Options'!$B$35,'Drop-Down_Options'!$B$36,"Classified","LTE")</f>
        <v/>
      </c>
      <c r="P15" s="726"/>
      <c r="Q15" s="726"/>
      <c r="R15" s="726"/>
      <c r="S15" s="726"/>
      <c r="T15" s="727"/>
      <c r="U15" s="719">
        <f>'Budget Period 2'!U15*(1+IF(L15="PI",Data_SalaryInflationRatePI,Data_SalaryInflationRate))</f>
        <v>0</v>
      </c>
      <c r="V15" s="720"/>
      <c r="W15" s="720"/>
      <c r="X15" s="721"/>
      <c r="Y15" s="114">
        <v>1</v>
      </c>
      <c r="Z15" s="118"/>
      <c r="AA15" s="321" t="str">
        <f t="shared" si="0"/>
        <v/>
      </c>
      <c r="AB15" s="434"/>
      <c r="AC15" s="436"/>
      <c r="AD15" s="625"/>
      <c r="AE15" s="626"/>
      <c r="AF15" s="626"/>
      <c r="AG15" s="535">
        <f t="shared" si="1"/>
        <v>0</v>
      </c>
      <c r="AH15" s="536"/>
      <c r="AI15" s="530">
        <f>(IF(OR('Budget Period 1'!L15&lt;2,'Budget Period 1'!O15&lt;2),0,IF(OR('Budget Period 1'!O15=4,'Budget Period 1'!O15=5),U15*2080/12*AB15*AD15,(U15/(CHOOSE('Budget Period 1'!O15,0,9,12,0,0))*AB15*AD15))))</f>
        <v>0</v>
      </c>
      <c r="AJ15" s="531"/>
      <c r="AK15" s="531"/>
      <c r="AL15" s="532"/>
      <c r="AM15" s="783">
        <f>IF(OR('Budget Period 1'!L15&lt;2,'Budget Period 1'!O15&lt;2),0,IF('Budget Period 1'!L15=4,FringeRate_Y3_PostDoc,CHOOSE('Budget Period 1'!O15,0,FringeRate_Y3_Faculty,FringeRate_Y3_Faculty,FringeRate_Y3_Classified,FringeRate_Y3_LTE)))</f>
        <v>0</v>
      </c>
      <c r="AN15" s="784"/>
      <c r="AO15" s="785">
        <f t="shared" si="2"/>
        <v>0</v>
      </c>
      <c r="AP15" s="786"/>
      <c r="AQ15" s="530">
        <f t="shared" si="3"/>
        <v>0</v>
      </c>
      <c r="AR15" s="531"/>
      <c r="AS15" s="531"/>
      <c r="AT15" s="612"/>
      <c r="AU15" s="137"/>
      <c r="AV15" s="10"/>
    </row>
    <row r="16" spans="2:48" ht="18" customHeight="1" thickBot="1" x14ac:dyDescent="0.25">
      <c r="B16" s="10"/>
      <c r="C16" s="137"/>
      <c r="D16" s="137"/>
      <c r="E16" s="149" t="s">
        <v>96</v>
      </c>
      <c r="F16" s="722">
        <f>'Budget Period 1'!F16:K16</f>
        <v>0</v>
      </c>
      <c r="G16" s="723"/>
      <c r="H16" s="723"/>
      <c r="I16" s="723"/>
      <c r="J16" s="723"/>
      <c r="K16" s="724"/>
      <c r="L16" s="725" t="str">
        <f>CHOOSE('Budget Period 1'!L16,"",'Drop-Down_Options'!$B$25,'Drop-Down_Options'!$B$26,'Drop-Down_Options'!$B$27,'Drop-Down_Options'!$B$28)</f>
        <v/>
      </c>
      <c r="M16" s="726"/>
      <c r="N16" s="727"/>
      <c r="O16" s="725" t="str">
        <f>CHOOSE('Budget Period 1'!O16,"",'Drop-Down_Options'!$B$35,'Drop-Down_Options'!$B$36,"Classified","LTE")</f>
        <v/>
      </c>
      <c r="P16" s="726"/>
      <c r="Q16" s="726"/>
      <c r="R16" s="726"/>
      <c r="S16" s="726"/>
      <c r="T16" s="727"/>
      <c r="U16" s="719">
        <f>'Budget Period 2'!U16*(1+IF(L16="PI",Data_SalaryInflationRatePI,Data_SalaryInflationRate))</f>
        <v>0</v>
      </c>
      <c r="V16" s="720"/>
      <c r="W16" s="720"/>
      <c r="X16" s="721"/>
      <c r="Y16" s="114">
        <v>1</v>
      </c>
      <c r="Z16" s="118"/>
      <c r="AA16" s="321" t="str">
        <f t="shared" si="0"/>
        <v/>
      </c>
      <c r="AB16" s="434"/>
      <c r="AC16" s="436"/>
      <c r="AD16" s="625"/>
      <c r="AE16" s="626"/>
      <c r="AF16" s="626"/>
      <c r="AG16" s="535">
        <f t="shared" si="1"/>
        <v>0</v>
      </c>
      <c r="AH16" s="536"/>
      <c r="AI16" s="530">
        <f>(IF(OR('Budget Period 1'!L16&lt;2,'Budget Period 1'!O16&lt;2),0,IF(OR('Budget Period 1'!O16=4,'Budget Period 1'!O16=5),U16*2080/12*AB16*AD16,(U16/(CHOOSE('Budget Period 1'!O16,0,9,12,0,0))*AB16*AD16))))</f>
        <v>0</v>
      </c>
      <c r="AJ16" s="531"/>
      <c r="AK16" s="531"/>
      <c r="AL16" s="532"/>
      <c r="AM16" s="783">
        <f>IF(OR('Budget Period 1'!L16&lt;2,'Budget Period 1'!O16&lt;2),0,IF('Budget Period 1'!L16=4,FringeRate_Y3_PostDoc,CHOOSE('Budget Period 1'!O16,0,FringeRate_Y3_Faculty,FringeRate_Y3_Faculty,FringeRate_Y3_Classified,FringeRate_Y3_LTE)))</f>
        <v>0</v>
      </c>
      <c r="AN16" s="784"/>
      <c r="AO16" s="785">
        <f t="shared" si="2"/>
        <v>0</v>
      </c>
      <c r="AP16" s="786"/>
      <c r="AQ16" s="530">
        <f t="shared" si="3"/>
        <v>0</v>
      </c>
      <c r="AR16" s="531"/>
      <c r="AS16" s="531"/>
      <c r="AT16" s="612"/>
      <c r="AU16" s="137"/>
      <c r="AV16" s="10"/>
    </row>
    <row r="17" spans="2:48" ht="18" customHeight="1" thickBot="1" x14ac:dyDescent="0.25">
      <c r="B17" s="10"/>
      <c r="C17" s="137"/>
      <c r="D17" s="137"/>
      <c r="E17" s="149" t="s">
        <v>97</v>
      </c>
      <c r="F17" s="722">
        <f>'Budget Period 1'!F17:K17</f>
        <v>0</v>
      </c>
      <c r="G17" s="723"/>
      <c r="H17" s="723"/>
      <c r="I17" s="723"/>
      <c r="J17" s="723"/>
      <c r="K17" s="724"/>
      <c r="L17" s="725" t="str">
        <f>CHOOSE('Budget Period 1'!L17,"",'Drop-Down_Options'!$B$25,'Drop-Down_Options'!$B$26,'Drop-Down_Options'!$B$27,'Drop-Down_Options'!$B$28)</f>
        <v/>
      </c>
      <c r="M17" s="726"/>
      <c r="N17" s="727"/>
      <c r="O17" s="725" t="str">
        <f>CHOOSE('Budget Period 1'!O17,"",'Drop-Down_Options'!$B$35,'Drop-Down_Options'!$B$36,"Classified","LTE")</f>
        <v/>
      </c>
      <c r="P17" s="726"/>
      <c r="Q17" s="726"/>
      <c r="R17" s="726"/>
      <c r="S17" s="726"/>
      <c r="T17" s="727"/>
      <c r="U17" s="719">
        <f>'Budget Period 2'!U17*(1+IF(L17="PI",Data_SalaryInflationRatePI,Data_SalaryInflationRate))</f>
        <v>0</v>
      </c>
      <c r="V17" s="720"/>
      <c r="W17" s="720"/>
      <c r="X17" s="721"/>
      <c r="Y17" s="114">
        <v>1</v>
      </c>
      <c r="Z17" s="118"/>
      <c r="AA17" s="321" t="str">
        <f t="shared" si="0"/>
        <v/>
      </c>
      <c r="AB17" s="434"/>
      <c r="AC17" s="436"/>
      <c r="AD17" s="625"/>
      <c r="AE17" s="626"/>
      <c r="AF17" s="626"/>
      <c r="AG17" s="535">
        <f t="shared" si="1"/>
        <v>0</v>
      </c>
      <c r="AH17" s="536"/>
      <c r="AI17" s="530">
        <f>(IF(OR('Budget Period 1'!L17&lt;2,'Budget Period 1'!O17&lt;2),0,IF(OR('Budget Period 1'!O17=4,'Budget Period 1'!O17=5),U17*2080/12*AB17*AD17,(U17/(CHOOSE('Budget Period 1'!O17,0,9,12,0,0))*AB17*AD17))))</f>
        <v>0</v>
      </c>
      <c r="AJ17" s="531"/>
      <c r="AK17" s="531"/>
      <c r="AL17" s="532"/>
      <c r="AM17" s="783">
        <f>IF(OR('Budget Period 1'!L17&lt;2,'Budget Period 1'!O17&lt;2),0,IF('Budget Period 1'!L17=4,FringeRate_Y3_PostDoc,CHOOSE('Budget Period 1'!O17,0,FringeRate_Y3_Faculty,FringeRate_Y3_Faculty,FringeRate_Y3_Classified,FringeRate_Y3_LTE)))</f>
        <v>0</v>
      </c>
      <c r="AN17" s="784"/>
      <c r="AO17" s="785">
        <f t="shared" si="2"/>
        <v>0</v>
      </c>
      <c r="AP17" s="786"/>
      <c r="AQ17" s="530">
        <f t="shared" si="3"/>
        <v>0</v>
      </c>
      <c r="AR17" s="531"/>
      <c r="AS17" s="531"/>
      <c r="AT17" s="612"/>
      <c r="AU17" s="137"/>
      <c r="AV17" s="10"/>
    </row>
    <row r="18" spans="2:48" ht="18" customHeight="1" thickBot="1" x14ac:dyDescent="0.25">
      <c r="B18" s="10"/>
      <c r="C18" s="137"/>
      <c r="D18" s="137"/>
      <c r="E18" s="149" t="s">
        <v>98</v>
      </c>
      <c r="F18" s="722">
        <f>'Budget Period 1'!F18:K18</f>
        <v>0</v>
      </c>
      <c r="G18" s="723"/>
      <c r="H18" s="723"/>
      <c r="I18" s="723"/>
      <c r="J18" s="723"/>
      <c r="K18" s="724"/>
      <c r="L18" s="725" t="str">
        <f>CHOOSE('Budget Period 1'!L18,"",'Drop-Down_Options'!$B$25,'Drop-Down_Options'!$B$26,'Drop-Down_Options'!$B$27,'Drop-Down_Options'!$B$28)</f>
        <v/>
      </c>
      <c r="M18" s="726"/>
      <c r="N18" s="727"/>
      <c r="O18" s="725" t="str">
        <f>CHOOSE('Budget Period 1'!O18,"",'Drop-Down_Options'!$B$35,'Drop-Down_Options'!$B$36,"Classified","LTE")</f>
        <v/>
      </c>
      <c r="P18" s="726"/>
      <c r="Q18" s="726"/>
      <c r="R18" s="726"/>
      <c r="S18" s="726"/>
      <c r="T18" s="727"/>
      <c r="U18" s="719">
        <f>'Budget Period 2'!U18*(1+IF(L18="PI",Data_SalaryInflationRatePI,Data_SalaryInflationRate))</f>
        <v>0</v>
      </c>
      <c r="V18" s="720"/>
      <c r="W18" s="720"/>
      <c r="X18" s="721"/>
      <c r="Y18" s="114">
        <v>1</v>
      </c>
      <c r="Z18" s="118"/>
      <c r="AA18" s="321" t="str">
        <f t="shared" si="0"/>
        <v/>
      </c>
      <c r="AB18" s="434"/>
      <c r="AC18" s="436"/>
      <c r="AD18" s="625"/>
      <c r="AE18" s="626"/>
      <c r="AF18" s="626"/>
      <c r="AG18" s="535">
        <f t="shared" si="1"/>
        <v>0</v>
      </c>
      <c r="AH18" s="536"/>
      <c r="AI18" s="530">
        <f>(IF(OR('Budget Period 1'!L18&lt;2,'Budget Period 1'!O18&lt;2),0,IF(OR('Budget Period 1'!O18=4,'Budget Period 1'!O18=5),U18*2080/12*AB18*AD18,(U18/(CHOOSE('Budget Period 1'!O18,0,9,12,0,0))*AB18*AD18))))</f>
        <v>0</v>
      </c>
      <c r="AJ18" s="531"/>
      <c r="AK18" s="531"/>
      <c r="AL18" s="532"/>
      <c r="AM18" s="783">
        <f>IF(OR('Budget Period 1'!L18&lt;2,'Budget Period 1'!O18&lt;2),0,IF('Budget Period 1'!L18=4,FringeRate_Y3_PostDoc,CHOOSE('Budget Period 1'!O18,0,FringeRate_Y3_Faculty,FringeRate_Y3_Faculty,FringeRate_Y3_Classified,FringeRate_Y3_LTE)))</f>
        <v>0</v>
      </c>
      <c r="AN18" s="784"/>
      <c r="AO18" s="785">
        <f t="shared" si="2"/>
        <v>0</v>
      </c>
      <c r="AP18" s="786"/>
      <c r="AQ18" s="530">
        <f t="shared" si="3"/>
        <v>0</v>
      </c>
      <c r="AR18" s="531"/>
      <c r="AS18" s="531"/>
      <c r="AT18" s="612"/>
      <c r="AU18" s="137"/>
      <c r="AV18" s="10"/>
    </row>
    <row r="19" spans="2:48" ht="18" customHeight="1" thickBot="1" x14ac:dyDescent="0.25">
      <c r="B19" s="10"/>
      <c r="C19" s="137"/>
      <c r="D19" s="137"/>
      <c r="E19" s="149" t="s">
        <v>99</v>
      </c>
      <c r="F19" s="722">
        <f>'Budget Period 1'!F19:K19</f>
        <v>0</v>
      </c>
      <c r="G19" s="723"/>
      <c r="H19" s="723"/>
      <c r="I19" s="723"/>
      <c r="J19" s="723"/>
      <c r="K19" s="724"/>
      <c r="L19" s="725" t="str">
        <f>CHOOSE('Budget Period 1'!L19,"",'Drop-Down_Options'!$B$25,'Drop-Down_Options'!$B$26,'Drop-Down_Options'!$B$27,'Drop-Down_Options'!$B$28)</f>
        <v/>
      </c>
      <c r="M19" s="726"/>
      <c r="N19" s="727"/>
      <c r="O19" s="725" t="str">
        <f>CHOOSE('Budget Period 1'!O19,"",'Drop-Down_Options'!$B$35,'Drop-Down_Options'!$B$36,"Classified","LTE")</f>
        <v/>
      </c>
      <c r="P19" s="726"/>
      <c r="Q19" s="726"/>
      <c r="R19" s="726"/>
      <c r="S19" s="726"/>
      <c r="T19" s="727"/>
      <c r="U19" s="719">
        <f>'Budget Period 2'!U19*(1+IF(L19="PI",Data_SalaryInflationRatePI,Data_SalaryInflationRate))</f>
        <v>0</v>
      </c>
      <c r="V19" s="720"/>
      <c r="W19" s="720"/>
      <c r="X19" s="721"/>
      <c r="Y19" s="114">
        <v>1</v>
      </c>
      <c r="Z19" s="118"/>
      <c r="AA19" s="321" t="str">
        <f t="shared" si="0"/>
        <v/>
      </c>
      <c r="AB19" s="434"/>
      <c r="AC19" s="436"/>
      <c r="AD19" s="625"/>
      <c r="AE19" s="626"/>
      <c r="AF19" s="626"/>
      <c r="AG19" s="535">
        <f t="shared" si="1"/>
        <v>0</v>
      </c>
      <c r="AH19" s="536"/>
      <c r="AI19" s="530">
        <f>(IF(OR('Budget Period 1'!L19&lt;2,'Budget Period 1'!O19&lt;2),0,IF(OR('Budget Period 1'!O19=4,'Budget Period 1'!O19=5),U19*2080/12*AB19*AD19,(U19/(CHOOSE('Budget Period 1'!O19,0,9,12,0,0))*AB19*AD19))))</f>
        <v>0</v>
      </c>
      <c r="AJ19" s="531"/>
      <c r="AK19" s="531"/>
      <c r="AL19" s="532"/>
      <c r="AM19" s="783">
        <f>IF(OR('Budget Period 1'!L19&lt;2,'Budget Period 1'!O19&lt;2),0,IF('Budget Period 1'!L19=4,FringeRate_Y3_PostDoc,CHOOSE('Budget Period 1'!O19,0,FringeRate_Y3_Faculty,FringeRate_Y3_Faculty,FringeRate_Y3_Classified,FringeRate_Y3_LTE)))</f>
        <v>0</v>
      </c>
      <c r="AN19" s="784"/>
      <c r="AO19" s="785">
        <f t="shared" si="2"/>
        <v>0</v>
      </c>
      <c r="AP19" s="786"/>
      <c r="AQ19" s="530">
        <f t="shared" si="3"/>
        <v>0</v>
      </c>
      <c r="AR19" s="531"/>
      <c r="AS19" s="531"/>
      <c r="AT19" s="612"/>
      <c r="AU19" s="137"/>
      <c r="AV19" s="10"/>
    </row>
    <row r="20" spans="2:48" ht="18" customHeight="1" thickBot="1" x14ac:dyDescent="0.25">
      <c r="B20" s="10"/>
      <c r="C20" s="137"/>
      <c r="D20" s="137"/>
      <c r="E20" s="149" t="s">
        <v>141</v>
      </c>
      <c r="F20" s="722">
        <f>'Budget Period 1'!F20:K20</f>
        <v>0</v>
      </c>
      <c r="G20" s="723"/>
      <c r="H20" s="723"/>
      <c r="I20" s="723"/>
      <c r="J20" s="723"/>
      <c r="K20" s="724"/>
      <c r="L20" s="725" t="str">
        <f>CHOOSE('Budget Period 1'!L20,"",'Drop-Down_Options'!$B$25,'Drop-Down_Options'!$B$26,'Drop-Down_Options'!$B$27,'Drop-Down_Options'!$B$28)</f>
        <v/>
      </c>
      <c r="M20" s="726"/>
      <c r="N20" s="727"/>
      <c r="O20" s="725" t="str">
        <f>CHOOSE('Budget Period 1'!O20,"",'Drop-Down_Options'!$B$35,'Drop-Down_Options'!$B$36,"Classified","LTE")</f>
        <v/>
      </c>
      <c r="P20" s="726"/>
      <c r="Q20" s="726"/>
      <c r="R20" s="726"/>
      <c r="S20" s="726"/>
      <c r="T20" s="727"/>
      <c r="U20" s="719">
        <f>'Budget Period 2'!U20*(1+IF(L20="PI",Data_SalaryInflationRatePI,Data_SalaryInflationRate))</f>
        <v>0</v>
      </c>
      <c r="V20" s="720"/>
      <c r="W20" s="720"/>
      <c r="X20" s="721"/>
      <c r="Y20" s="114">
        <v>1</v>
      </c>
      <c r="Z20" s="118"/>
      <c r="AA20" s="321" t="str">
        <f t="shared" si="0"/>
        <v/>
      </c>
      <c r="AB20" s="434"/>
      <c r="AC20" s="436"/>
      <c r="AD20" s="625"/>
      <c r="AE20" s="626"/>
      <c r="AF20" s="626"/>
      <c r="AG20" s="535">
        <f t="shared" si="1"/>
        <v>0</v>
      </c>
      <c r="AH20" s="536"/>
      <c r="AI20" s="530">
        <f>(IF(OR('Budget Period 1'!L20&lt;2,'Budget Period 1'!O20&lt;2),0,IF(OR('Budget Period 1'!O20=4,'Budget Period 1'!O20=5),U20*2080/12*AB20*AD20,(U20/(CHOOSE('Budget Period 1'!O20,0,9,12,0,0))*AB20*AD20))))</f>
        <v>0</v>
      </c>
      <c r="AJ20" s="531"/>
      <c r="AK20" s="531"/>
      <c r="AL20" s="532"/>
      <c r="AM20" s="783">
        <f>IF(OR('Budget Period 1'!L20&lt;2,'Budget Period 1'!O20&lt;2),0,IF('Budget Period 1'!L20=4,FringeRate_Y3_PostDoc,CHOOSE('Budget Period 1'!O20,0,FringeRate_Y3_Faculty,FringeRate_Y3_Faculty,FringeRate_Y3_Classified,FringeRate_Y3_LTE)))</f>
        <v>0</v>
      </c>
      <c r="AN20" s="784"/>
      <c r="AO20" s="785">
        <f t="shared" si="2"/>
        <v>0</v>
      </c>
      <c r="AP20" s="786"/>
      <c r="AQ20" s="530">
        <f t="shared" si="3"/>
        <v>0</v>
      </c>
      <c r="AR20" s="531"/>
      <c r="AS20" s="531"/>
      <c r="AT20" s="612"/>
      <c r="AU20" s="137"/>
      <c r="AV20" s="10"/>
    </row>
    <row r="21" spans="2:48" ht="18" customHeight="1" thickBot="1" x14ac:dyDescent="0.25">
      <c r="B21" s="10"/>
      <c r="C21" s="137"/>
      <c r="D21" s="137"/>
      <c r="E21" s="149" t="s">
        <v>100</v>
      </c>
      <c r="F21" s="722">
        <f>'Budget Period 1'!F21:K21</f>
        <v>0</v>
      </c>
      <c r="G21" s="723"/>
      <c r="H21" s="723"/>
      <c r="I21" s="723"/>
      <c r="J21" s="723"/>
      <c r="K21" s="724"/>
      <c r="L21" s="725" t="str">
        <f>CHOOSE('Budget Period 1'!L21,"",'Drop-Down_Options'!$B$25,'Drop-Down_Options'!$B$26,'Drop-Down_Options'!$B$27,'Drop-Down_Options'!$B$28)</f>
        <v/>
      </c>
      <c r="M21" s="726"/>
      <c r="N21" s="727"/>
      <c r="O21" s="725" t="str">
        <f>CHOOSE('Budget Period 1'!O21,"",'Drop-Down_Options'!$B$35,'Drop-Down_Options'!$B$36,"Classified","LTE")</f>
        <v/>
      </c>
      <c r="P21" s="726"/>
      <c r="Q21" s="726"/>
      <c r="R21" s="726"/>
      <c r="S21" s="726"/>
      <c r="T21" s="727"/>
      <c r="U21" s="719">
        <f>'Budget Period 2'!U21*(1+IF(L21="PI",Data_SalaryInflationRatePI,Data_SalaryInflationRate))</f>
        <v>0</v>
      </c>
      <c r="V21" s="720"/>
      <c r="W21" s="720"/>
      <c r="X21" s="721"/>
      <c r="Y21" s="114">
        <v>1</v>
      </c>
      <c r="Z21" s="118"/>
      <c r="AA21" s="321" t="str">
        <f t="shared" si="0"/>
        <v/>
      </c>
      <c r="AB21" s="434"/>
      <c r="AC21" s="436"/>
      <c r="AD21" s="625"/>
      <c r="AE21" s="626"/>
      <c r="AF21" s="626"/>
      <c r="AG21" s="535">
        <f t="shared" si="1"/>
        <v>0</v>
      </c>
      <c r="AH21" s="536"/>
      <c r="AI21" s="530">
        <f>(IF(OR('Budget Period 1'!L21&lt;2,'Budget Period 1'!O21&lt;2),0,IF(OR('Budget Period 1'!O21=4,'Budget Period 1'!O21=5),U21*2080/12*AB21*AD21,(U21/(CHOOSE('Budget Period 1'!O21,0,9,12,0,0))*AB21*AD21))))</f>
        <v>0</v>
      </c>
      <c r="AJ21" s="531"/>
      <c r="AK21" s="531"/>
      <c r="AL21" s="532"/>
      <c r="AM21" s="783">
        <f>IF(OR('Budget Period 1'!L21&lt;2,'Budget Period 1'!O21&lt;2),0,IF('Budget Period 1'!L21=4,FringeRate_Y3_PostDoc,CHOOSE('Budget Period 1'!O21,0,FringeRate_Y3_Faculty,FringeRate_Y3_Faculty,FringeRate_Y3_Classified,FringeRate_Y3_LTE)))</f>
        <v>0</v>
      </c>
      <c r="AN21" s="784"/>
      <c r="AO21" s="785">
        <f t="shared" si="2"/>
        <v>0</v>
      </c>
      <c r="AP21" s="786"/>
      <c r="AQ21" s="530">
        <f t="shared" si="3"/>
        <v>0</v>
      </c>
      <c r="AR21" s="531"/>
      <c r="AS21" s="531"/>
      <c r="AT21" s="612"/>
      <c r="AU21" s="137"/>
      <c r="AV21" s="10"/>
    </row>
    <row r="22" spans="2:48" ht="18" customHeight="1" thickBot="1" x14ac:dyDescent="0.25">
      <c r="B22" s="10"/>
      <c r="C22" s="137"/>
      <c r="D22" s="137"/>
      <c r="E22" s="149" t="s">
        <v>101</v>
      </c>
      <c r="F22" s="722">
        <f>'Budget Period 1'!F22:K22</f>
        <v>0</v>
      </c>
      <c r="G22" s="723"/>
      <c r="H22" s="723"/>
      <c r="I22" s="723"/>
      <c r="J22" s="723"/>
      <c r="K22" s="724"/>
      <c r="L22" s="725" t="str">
        <f>CHOOSE('Budget Period 1'!L22,"",'Drop-Down_Options'!$B$25,'Drop-Down_Options'!$B$26,'Drop-Down_Options'!$B$27,'Drop-Down_Options'!$B$28)</f>
        <v/>
      </c>
      <c r="M22" s="726"/>
      <c r="N22" s="727"/>
      <c r="O22" s="725" t="str">
        <f>CHOOSE('Budget Period 1'!O22,"",'Drop-Down_Options'!$B$35,'Drop-Down_Options'!$B$36,"Classified","LTE")</f>
        <v/>
      </c>
      <c r="P22" s="726"/>
      <c r="Q22" s="726"/>
      <c r="R22" s="726"/>
      <c r="S22" s="726"/>
      <c r="T22" s="727"/>
      <c r="U22" s="719">
        <f>'Budget Period 2'!U22*(1+IF(L22="PI",Data_SalaryInflationRatePI,Data_SalaryInflationRate))</f>
        <v>0</v>
      </c>
      <c r="V22" s="720"/>
      <c r="W22" s="720"/>
      <c r="X22" s="721"/>
      <c r="Y22" s="114">
        <v>1</v>
      </c>
      <c r="Z22" s="118"/>
      <c r="AA22" s="321" t="str">
        <f t="shared" si="0"/>
        <v/>
      </c>
      <c r="AB22" s="434"/>
      <c r="AC22" s="436"/>
      <c r="AD22" s="625"/>
      <c r="AE22" s="626"/>
      <c r="AF22" s="626"/>
      <c r="AG22" s="535">
        <f t="shared" si="1"/>
        <v>0</v>
      </c>
      <c r="AH22" s="536"/>
      <c r="AI22" s="530">
        <f>(IF(OR('Budget Period 1'!L22&lt;2,'Budget Period 1'!O22&lt;2),0,IF(OR('Budget Period 1'!O22=4,'Budget Period 1'!O22=5),U22*2080/12*AB22*AD22,(U22/(CHOOSE('Budget Period 1'!O22,0,9,12,0,0))*AB22*AD22))))</f>
        <v>0</v>
      </c>
      <c r="AJ22" s="531"/>
      <c r="AK22" s="531"/>
      <c r="AL22" s="532"/>
      <c r="AM22" s="783">
        <f>IF(OR('Budget Period 1'!L22&lt;2,'Budget Period 1'!O22&lt;2),0,IF('Budget Period 1'!L22=4,FringeRate_Y3_PostDoc,CHOOSE('Budget Period 1'!O22,0,FringeRate_Y3_Faculty,FringeRate_Y3_Faculty,FringeRate_Y3_Classified,FringeRate_Y3_LTE)))</f>
        <v>0</v>
      </c>
      <c r="AN22" s="784"/>
      <c r="AO22" s="785">
        <f t="shared" si="2"/>
        <v>0</v>
      </c>
      <c r="AP22" s="786"/>
      <c r="AQ22" s="530">
        <f t="shared" si="3"/>
        <v>0</v>
      </c>
      <c r="AR22" s="531"/>
      <c r="AS22" s="531"/>
      <c r="AT22" s="612"/>
      <c r="AU22" s="137"/>
      <c r="AV22" s="10"/>
    </row>
    <row r="23" spans="2:48" ht="18" customHeight="1" thickBot="1" x14ac:dyDescent="0.25">
      <c r="B23" s="10"/>
      <c r="C23" s="137"/>
      <c r="D23" s="137"/>
      <c r="E23" s="149" t="s">
        <v>102</v>
      </c>
      <c r="F23" s="722">
        <f>'Budget Period 1'!F23:K23</f>
        <v>0</v>
      </c>
      <c r="G23" s="723"/>
      <c r="H23" s="723"/>
      <c r="I23" s="723"/>
      <c r="J23" s="723"/>
      <c r="K23" s="724"/>
      <c r="L23" s="725" t="str">
        <f>CHOOSE('Budget Period 1'!L23,"",'Drop-Down_Options'!$B$25,'Drop-Down_Options'!$B$26,'Drop-Down_Options'!$B$27,'Drop-Down_Options'!$B$28)</f>
        <v/>
      </c>
      <c r="M23" s="726"/>
      <c r="N23" s="727"/>
      <c r="O23" s="725" t="str">
        <f>CHOOSE('Budget Period 1'!O23,"",'Drop-Down_Options'!$B$35,'Drop-Down_Options'!$B$36,"Classified","LTE")</f>
        <v/>
      </c>
      <c r="P23" s="726"/>
      <c r="Q23" s="726"/>
      <c r="R23" s="726"/>
      <c r="S23" s="726"/>
      <c r="T23" s="727"/>
      <c r="U23" s="719">
        <f>'Budget Period 2'!U23*(1+IF(L23="PI",Data_SalaryInflationRatePI,Data_SalaryInflationRate))</f>
        <v>0</v>
      </c>
      <c r="V23" s="720"/>
      <c r="W23" s="720"/>
      <c r="X23" s="721"/>
      <c r="Y23" s="114">
        <v>1</v>
      </c>
      <c r="Z23" s="118"/>
      <c r="AA23" s="321" t="str">
        <f t="shared" si="0"/>
        <v/>
      </c>
      <c r="AB23" s="434"/>
      <c r="AC23" s="436"/>
      <c r="AD23" s="625"/>
      <c r="AE23" s="626"/>
      <c r="AF23" s="626"/>
      <c r="AG23" s="535">
        <f t="shared" si="1"/>
        <v>0</v>
      </c>
      <c r="AH23" s="536"/>
      <c r="AI23" s="530">
        <f>(IF(OR('Budget Period 1'!L23&lt;2,'Budget Period 1'!O23&lt;2),0,IF(OR('Budget Period 1'!O23=4,'Budget Period 1'!O23=5),U23*2080/12*AB23*AD23,(U23/(CHOOSE('Budget Period 1'!O23,0,9,12,0,0))*AB23*AD23))))</f>
        <v>0</v>
      </c>
      <c r="AJ23" s="531"/>
      <c r="AK23" s="531"/>
      <c r="AL23" s="532"/>
      <c r="AM23" s="783">
        <f>IF(OR('Budget Period 1'!L23&lt;2,'Budget Period 1'!O23&lt;2),0,IF('Budget Period 1'!L23=4,FringeRate_Y3_PostDoc,CHOOSE('Budget Period 1'!O23,0,FringeRate_Y3_Faculty,FringeRate_Y3_Faculty,FringeRate_Y3_Classified,FringeRate_Y3_LTE)))</f>
        <v>0</v>
      </c>
      <c r="AN23" s="784"/>
      <c r="AO23" s="785">
        <f t="shared" si="2"/>
        <v>0</v>
      </c>
      <c r="AP23" s="786"/>
      <c r="AQ23" s="530">
        <f t="shared" si="3"/>
        <v>0</v>
      </c>
      <c r="AR23" s="531"/>
      <c r="AS23" s="531"/>
      <c r="AT23" s="612"/>
      <c r="AU23" s="137"/>
      <c r="AV23" s="10"/>
    </row>
    <row r="24" spans="2:48" ht="18" customHeight="1" thickBot="1" x14ac:dyDescent="0.25">
      <c r="B24" s="10"/>
      <c r="C24" s="137"/>
      <c r="D24" s="137"/>
      <c r="E24" s="149" t="s">
        <v>103</v>
      </c>
      <c r="F24" s="722">
        <f>'Budget Period 1'!F24:K24</f>
        <v>0</v>
      </c>
      <c r="G24" s="723"/>
      <c r="H24" s="723"/>
      <c r="I24" s="723"/>
      <c r="J24" s="723"/>
      <c r="K24" s="724"/>
      <c r="L24" s="725" t="str">
        <f>CHOOSE('Budget Period 1'!L24,"",'Drop-Down_Options'!$B$25,'Drop-Down_Options'!$B$26,'Drop-Down_Options'!$B$27,'Drop-Down_Options'!$B$28)</f>
        <v/>
      </c>
      <c r="M24" s="726"/>
      <c r="N24" s="727"/>
      <c r="O24" s="725" t="str">
        <f>CHOOSE('Budget Period 1'!O24,"",'Drop-Down_Options'!$B$35,'Drop-Down_Options'!$B$36,"Classified","LTE")</f>
        <v/>
      </c>
      <c r="P24" s="726"/>
      <c r="Q24" s="726"/>
      <c r="R24" s="726"/>
      <c r="S24" s="726"/>
      <c r="T24" s="727"/>
      <c r="U24" s="719">
        <f>'Budget Period 2'!U24*(1+IF(L24="PI",Data_SalaryInflationRatePI,Data_SalaryInflationRate))</f>
        <v>0</v>
      </c>
      <c r="V24" s="720"/>
      <c r="W24" s="720"/>
      <c r="X24" s="721"/>
      <c r="Y24" s="114">
        <v>1</v>
      </c>
      <c r="Z24" s="118"/>
      <c r="AA24" s="321" t="str">
        <f t="shared" si="0"/>
        <v/>
      </c>
      <c r="AB24" s="434"/>
      <c r="AC24" s="436"/>
      <c r="AD24" s="625"/>
      <c r="AE24" s="626"/>
      <c r="AF24" s="626"/>
      <c r="AG24" s="535">
        <f t="shared" si="1"/>
        <v>0</v>
      </c>
      <c r="AH24" s="536"/>
      <c r="AI24" s="530">
        <f>(IF(OR('Budget Period 1'!L24&lt;2,'Budget Period 1'!O24&lt;2),0,IF(OR('Budget Period 1'!O24=4,'Budget Period 1'!O24=5),U24*2080/12*AB24*AD24,(U24/(CHOOSE('Budget Period 1'!O24,0,9,12,0,0))*AB24*AD24))))</f>
        <v>0</v>
      </c>
      <c r="AJ24" s="531"/>
      <c r="AK24" s="531"/>
      <c r="AL24" s="532"/>
      <c r="AM24" s="783">
        <f>IF(OR('Budget Period 1'!L24&lt;2,'Budget Period 1'!O24&lt;2),0,IF('Budget Period 1'!L24=4,FringeRate_Y3_PostDoc,CHOOSE('Budget Period 1'!O24,0,FringeRate_Y3_Faculty,FringeRate_Y3_Faculty,FringeRate_Y3_Classified,FringeRate_Y3_LTE)))</f>
        <v>0</v>
      </c>
      <c r="AN24" s="784"/>
      <c r="AO24" s="785">
        <f t="shared" si="2"/>
        <v>0</v>
      </c>
      <c r="AP24" s="786"/>
      <c r="AQ24" s="530">
        <f t="shared" si="3"/>
        <v>0</v>
      </c>
      <c r="AR24" s="531"/>
      <c r="AS24" s="531"/>
      <c r="AT24" s="612"/>
      <c r="AU24" s="137"/>
      <c r="AV24" s="10"/>
    </row>
    <row r="25" spans="2:48" ht="18" customHeight="1" thickBot="1" x14ac:dyDescent="0.25">
      <c r="B25" s="10"/>
      <c r="C25" s="137"/>
      <c r="D25" s="137"/>
      <c r="E25" s="149" t="s">
        <v>104</v>
      </c>
      <c r="F25" s="722">
        <f>'Budget Period 1'!F25:K25</f>
        <v>0</v>
      </c>
      <c r="G25" s="723"/>
      <c r="H25" s="723"/>
      <c r="I25" s="723"/>
      <c r="J25" s="723"/>
      <c r="K25" s="724"/>
      <c r="L25" s="725" t="str">
        <f>CHOOSE('Budget Period 1'!L25,"",'Drop-Down_Options'!$B$25,'Drop-Down_Options'!$B$26,'Drop-Down_Options'!$B$27,'Drop-Down_Options'!$B$28)</f>
        <v/>
      </c>
      <c r="M25" s="726"/>
      <c r="N25" s="727"/>
      <c r="O25" s="725" t="str">
        <f>CHOOSE('Budget Period 1'!O25,"",'Drop-Down_Options'!$B$35,'Drop-Down_Options'!$B$36,"Classified","LTE")</f>
        <v/>
      </c>
      <c r="P25" s="726"/>
      <c r="Q25" s="726"/>
      <c r="R25" s="726"/>
      <c r="S25" s="726"/>
      <c r="T25" s="727"/>
      <c r="U25" s="719">
        <f>'Budget Period 2'!U25*(1+IF(L25="PI",Data_SalaryInflationRatePI,Data_SalaryInflationRate))</f>
        <v>0</v>
      </c>
      <c r="V25" s="720"/>
      <c r="W25" s="720"/>
      <c r="X25" s="721"/>
      <c r="Y25" s="114">
        <v>1</v>
      </c>
      <c r="Z25" s="118"/>
      <c r="AA25" s="321" t="str">
        <f t="shared" si="0"/>
        <v/>
      </c>
      <c r="AB25" s="434"/>
      <c r="AC25" s="436"/>
      <c r="AD25" s="625"/>
      <c r="AE25" s="626"/>
      <c r="AF25" s="626"/>
      <c r="AG25" s="535">
        <f t="shared" si="1"/>
        <v>0</v>
      </c>
      <c r="AH25" s="536"/>
      <c r="AI25" s="530">
        <f>(IF(OR('Budget Period 1'!L25&lt;2,'Budget Period 1'!O25&lt;2),0,IF(OR('Budget Period 1'!O25=4,'Budget Period 1'!O25=5),U25*2080/12*AB25*AD25,(U25/(CHOOSE('Budget Period 1'!O25,0,9,12,0,0))*AB25*AD25))))</f>
        <v>0</v>
      </c>
      <c r="AJ25" s="531"/>
      <c r="AK25" s="531"/>
      <c r="AL25" s="532"/>
      <c r="AM25" s="783">
        <f>IF(OR('Budget Period 1'!L25&lt;2,'Budget Period 1'!O25&lt;2),0,IF('Budget Period 1'!L25=4,FringeRate_Y3_PostDoc,CHOOSE('Budget Period 1'!O25,0,FringeRate_Y3_Faculty,FringeRate_Y3_Faculty,FringeRate_Y3_Classified,FringeRate_Y3_LTE)))</f>
        <v>0</v>
      </c>
      <c r="AN25" s="784"/>
      <c r="AO25" s="785">
        <f t="shared" si="2"/>
        <v>0</v>
      </c>
      <c r="AP25" s="786"/>
      <c r="AQ25" s="530">
        <f t="shared" si="3"/>
        <v>0</v>
      </c>
      <c r="AR25" s="531"/>
      <c r="AS25" s="531"/>
      <c r="AT25" s="612"/>
      <c r="AU25" s="137"/>
      <c r="AV25" s="10"/>
    </row>
    <row r="26" spans="2:48" ht="18" customHeight="1" thickBot="1" x14ac:dyDescent="0.25">
      <c r="B26" s="10"/>
      <c r="C26" s="137"/>
      <c r="D26" s="137"/>
      <c r="E26" s="149" t="s">
        <v>105</v>
      </c>
      <c r="F26" s="722">
        <f>'Budget Period 1'!F26:K26</f>
        <v>0</v>
      </c>
      <c r="G26" s="723"/>
      <c r="H26" s="723"/>
      <c r="I26" s="723"/>
      <c r="J26" s="723"/>
      <c r="K26" s="724"/>
      <c r="L26" s="725" t="str">
        <f>CHOOSE('Budget Period 1'!L26,"",'Drop-Down_Options'!$B$25,'Drop-Down_Options'!$B$26,'Drop-Down_Options'!$B$27,'Drop-Down_Options'!$B$28)</f>
        <v/>
      </c>
      <c r="M26" s="726"/>
      <c r="N26" s="727"/>
      <c r="O26" s="725" t="str">
        <f>CHOOSE('Budget Period 1'!O26,"",'Drop-Down_Options'!$B$35,'Drop-Down_Options'!$B$36,"Classified","LTE")</f>
        <v/>
      </c>
      <c r="P26" s="726"/>
      <c r="Q26" s="726"/>
      <c r="R26" s="726"/>
      <c r="S26" s="726"/>
      <c r="T26" s="727"/>
      <c r="U26" s="719">
        <f>'Budget Period 2'!U26*(1+IF(L26="PI",Data_SalaryInflationRatePI,Data_SalaryInflationRate))</f>
        <v>0</v>
      </c>
      <c r="V26" s="720"/>
      <c r="W26" s="720"/>
      <c r="X26" s="721"/>
      <c r="Y26" s="114">
        <v>1</v>
      </c>
      <c r="Z26" s="118"/>
      <c r="AA26" s="321" t="str">
        <f t="shared" si="0"/>
        <v/>
      </c>
      <c r="AB26" s="434"/>
      <c r="AC26" s="436"/>
      <c r="AD26" s="625"/>
      <c r="AE26" s="626"/>
      <c r="AF26" s="626"/>
      <c r="AG26" s="535">
        <f t="shared" si="1"/>
        <v>0</v>
      </c>
      <c r="AH26" s="536"/>
      <c r="AI26" s="530">
        <f>(IF(OR('Budget Period 1'!L26&lt;2,'Budget Period 1'!O26&lt;2),0,IF(OR('Budget Period 1'!O26=4,'Budget Period 1'!O26=5),U26*2080/12*AB26*AD26,(U26/(CHOOSE('Budget Period 1'!O26,0,9,12,0,0))*AB26*AD26))))</f>
        <v>0</v>
      </c>
      <c r="AJ26" s="531"/>
      <c r="AK26" s="531"/>
      <c r="AL26" s="532"/>
      <c r="AM26" s="783">
        <f>IF(OR('Budget Period 1'!L26&lt;2,'Budget Period 1'!O26&lt;2),0,IF('Budget Period 1'!L26=4,FringeRate_Y3_PostDoc,CHOOSE('Budget Period 1'!O26,0,FringeRate_Y3_Faculty,FringeRate_Y3_Faculty,FringeRate_Y3_Classified,FringeRate_Y3_LTE)))</f>
        <v>0</v>
      </c>
      <c r="AN26" s="784"/>
      <c r="AO26" s="785">
        <f t="shared" si="2"/>
        <v>0</v>
      </c>
      <c r="AP26" s="786"/>
      <c r="AQ26" s="530">
        <f t="shared" si="3"/>
        <v>0</v>
      </c>
      <c r="AR26" s="531"/>
      <c r="AS26" s="531"/>
      <c r="AT26" s="612"/>
      <c r="AU26" s="137"/>
      <c r="AV26" s="10"/>
    </row>
    <row r="27" spans="2:48" ht="18" customHeight="1" thickBot="1" x14ac:dyDescent="0.25">
      <c r="B27" s="10"/>
      <c r="C27" s="137"/>
      <c r="D27" s="137"/>
      <c r="E27" s="149" t="s">
        <v>106</v>
      </c>
      <c r="F27" s="722">
        <f>'Budget Period 1'!F27:K27</f>
        <v>0</v>
      </c>
      <c r="G27" s="723"/>
      <c r="H27" s="723"/>
      <c r="I27" s="723"/>
      <c r="J27" s="723"/>
      <c r="K27" s="724"/>
      <c r="L27" s="725" t="str">
        <f>CHOOSE('Budget Period 1'!L27,"",'Drop-Down_Options'!$B$25,'Drop-Down_Options'!$B$26,'Drop-Down_Options'!$B$27,'Drop-Down_Options'!$B$28)</f>
        <v/>
      </c>
      <c r="M27" s="726"/>
      <c r="N27" s="727"/>
      <c r="O27" s="725" t="str">
        <f>CHOOSE('Budget Period 1'!O27,"",'Drop-Down_Options'!$B$35,'Drop-Down_Options'!$B$36,"Classified","LTE")</f>
        <v/>
      </c>
      <c r="P27" s="726"/>
      <c r="Q27" s="726"/>
      <c r="R27" s="726"/>
      <c r="S27" s="726"/>
      <c r="T27" s="727"/>
      <c r="U27" s="719">
        <f>'Budget Period 2'!U27*(1+IF(L27="PI",Data_SalaryInflationRatePI,Data_SalaryInflationRate))</f>
        <v>0</v>
      </c>
      <c r="V27" s="720"/>
      <c r="W27" s="720"/>
      <c r="X27" s="721"/>
      <c r="Y27" s="114">
        <v>1</v>
      </c>
      <c r="Z27" s="118"/>
      <c r="AA27" s="321" t="str">
        <f t="shared" si="0"/>
        <v/>
      </c>
      <c r="AB27" s="434"/>
      <c r="AC27" s="436"/>
      <c r="AD27" s="625"/>
      <c r="AE27" s="626"/>
      <c r="AF27" s="626"/>
      <c r="AG27" s="535">
        <f t="shared" si="1"/>
        <v>0</v>
      </c>
      <c r="AH27" s="536"/>
      <c r="AI27" s="530">
        <f>(IF(OR('Budget Period 1'!L27&lt;2,'Budget Period 1'!O27&lt;2),0,IF(OR('Budget Period 1'!O27=4,'Budget Period 1'!O27=5),U27*2080/12*AB27*AD27,(U27/(CHOOSE('Budget Period 1'!O27,0,9,12,0,0))*AB27*AD27))))</f>
        <v>0</v>
      </c>
      <c r="AJ27" s="531"/>
      <c r="AK27" s="531"/>
      <c r="AL27" s="532"/>
      <c r="AM27" s="783">
        <f>IF(OR('Budget Period 1'!L27&lt;2,'Budget Period 1'!O27&lt;2),0,IF('Budget Period 1'!L27=4,FringeRate_Y3_PostDoc,CHOOSE('Budget Period 1'!O27,0,FringeRate_Y3_Faculty,FringeRate_Y3_Faculty,FringeRate_Y3_Classified,FringeRate_Y3_LTE)))</f>
        <v>0</v>
      </c>
      <c r="AN27" s="784"/>
      <c r="AO27" s="785">
        <f t="shared" si="2"/>
        <v>0</v>
      </c>
      <c r="AP27" s="786"/>
      <c r="AQ27" s="530">
        <f t="shared" si="3"/>
        <v>0</v>
      </c>
      <c r="AR27" s="531"/>
      <c r="AS27" s="531"/>
      <c r="AT27" s="612"/>
      <c r="AU27" s="137"/>
      <c r="AV27" s="10"/>
    </row>
    <row r="28" spans="2:48" ht="18" customHeight="1" thickBot="1" x14ac:dyDescent="0.25">
      <c r="B28" s="10"/>
      <c r="C28" s="137"/>
      <c r="D28" s="137"/>
      <c r="E28" s="149" t="s">
        <v>107</v>
      </c>
      <c r="F28" s="722">
        <f>'Budget Period 1'!F28:K28</f>
        <v>0</v>
      </c>
      <c r="G28" s="723"/>
      <c r="H28" s="723"/>
      <c r="I28" s="723"/>
      <c r="J28" s="723"/>
      <c r="K28" s="724"/>
      <c r="L28" s="725" t="str">
        <f>CHOOSE('Budget Period 1'!L28,"",'Drop-Down_Options'!$B$25,'Drop-Down_Options'!$B$26,'Drop-Down_Options'!$B$27,'Drop-Down_Options'!$B$28)</f>
        <v/>
      </c>
      <c r="M28" s="726"/>
      <c r="N28" s="727"/>
      <c r="O28" s="725" t="str">
        <f>CHOOSE('Budget Period 1'!O28,"",'Drop-Down_Options'!$B$35,'Drop-Down_Options'!$B$36,"Classified","LTE")</f>
        <v/>
      </c>
      <c r="P28" s="726"/>
      <c r="Q28" s="726"/>
      <c r="R28" s="726"/>
      <c r="S28" s="726"/>
      <c r="T28" s="727"/>
      <c r="U28" s="719">
        <f>'Budget Period 2'!U28*(1+IF(L28="PI",Data_SalaryInflationRatePI,Data_SalaryInflationRate))</f>
        <v>0</v>
      </c>
      <c r="V28" s="720"/>
      <c r="W28" s="720"/>
      <c r="X28" s="721"/>
      <c r="Y28" s="114">
        <v>1</v>
      </c>
      <c r="Z28" s="118"/>
      <c r="AA28" s="321" t="str">
        <f t="shared" si="0"/>
        <v/>
      </c>
      <c r="AB28" s="434"/>
      <c r="AC28" s="436"/>
      <c r="AD28" s="625"/>
      <c r="AE28" s="626"/>
      <c r="AF28" s="626"/>
      <c r="AG28" s="535">
        <f t="shared" si="1"/>
        <v>0</v>
      </c>
      <c r="AH28" s="536"/>
      <c r="AI28" s="530">
        <f>(IF(OR('Budget Period 1'!L28&lt;2,'Budget Period 1'!O28&lt;2),0,IF(OR('Budget Period 1'!O28=4,'Budget Period 1'!O28=5),U28*2080/12*AB28*AD28,(U28/(CHOOSE('Budget Period 1'!O28,0,9,12,0,0))*AB28*AD28))))</f>
        <v>0</v>
      </c>
      <c r="AJ28" s="531"/>
      <c r="AK28" s="531"/>
      <c r="AL28" s="532"/>
      <c r="AM28" s="783">
        <f>IF(OR('Budget Period 1'!L28&lt;2,'Budget Period 1'!O28&lt;2),0,IF('Budget Period 1'!L28=4,FringeRate_Y3_PostDoc,CHOOSE('Budget Period 1'!O28,0,FringeRate_Y3_Faculty,FringeRate_Y3_Faculty,FringeRate_Y3_Classified,FringeRate_Y3_LTE)))</f>
        <v>0</v>
      </c>
      <c r="AN28" s="784"/>
      <c r="AO28" s="785">
        <f t="shared" si="2"/>
        <v>0</v>
      </c>
      <c r="AP28" s="786"/>
      <c r="AQ28" s="530">
        <f t="shared" si="3"/>
        <v>0</v>
      </c>
      <c r="AR28" s="531"/>
      <c r="AS28" s="531"/>
      <c r="AT28" s="612"/>
      <c r="AU28" s="137"/>
      <c r="AV28" s="10"/>
    </row>
    <row r="29" spans="2:48" ht="18" customHeight="1" thickBot="1" x14ac:dyDescent="0.25">
      <c r="B29" s="10"/>
      <c r="C29" s="137"/>
      <c r="D29" s="137"/>
      <c r="E29" s="149" t="s">
        <v>108</v>
      </c>
      <c r="F29" s="722">
        <f>'Budget Period 1'!F29:K29</f>
        <v>0</v>
      </c>
      <c r="G29" s="723"/>
      <c r="H29" s="723"/>
      <c r="I29" s="723"/>
      <c r="J29" s="723"/>
      <c r="K29" s="724"/>
      <c r="L29" s="725" t="str">
        <f>CHOOSE('Budget Period 1'!L29,"",'Drop-Down_Options'!$B$25,'Drop-Down_Options'!$B$26,'Drop-Down_Options'!$B$27,'Drop-Down_Options'!$B$28)</f>
        <v/>
      </c>
      <c r="M29" s="726"/>
      <c r="N29" s="727"/>
      <c r="O29" s="725" t="str">
        <f>CHOOSE('Budget Period 1'!O29,"",'Drop-Down_Options'!$B$35,'Drop-Down_Options'!$B$36,"Classified","LTE")</f>
        <v/>
      </c>
      <c r="P29" s="726"/>
      <c r="Q29" s="726"/>
      <c r="R29" s="726"/>
      <c r="S29" s="726"/>
      <c r="T29" s="727"/>
      <c r="U29" s="719">
        <f>'Budget Period 2'!U29*(1+IF(L29="PI",Data_SalaryInflationRatePI,Data_SalaryInflationRate))</f>
        <v>0</v>
      </c>
      <c r="V29" s="720"/>
      <c r="W29" s="720"/>
      <c r="X29" s="721"/>
      <c r="Y29" s="114">
        <v>1</v>
      </c>
      <c r="Z29" s="118"/>
      <c r="AA29" s="321" t="str">
        <f t="shared" si="0"/>
        <v/>
      </c>
      <c r="AB29" s="434"/>
      <c r="AC29" s="436"/>
      <c r="AD29" s="625"/>
      <c r="AE29" s="626"/>
      <c r="AF29" s="626"/>
      <c r="AG29" s="535">
        <f t="shared" si="1"/>
        <v>0</v>
      </c>
      <c r="AH29" s="536"/>
      <c r="AI29" s="530">
        <f>(IF(OR('Budget Period 1'!L29&lt;2,'Budget Period 1'!O29&lt;2),0,IF(OR('Budget Period 1'!O29=4,'Budget Period 1'!O29=5),U29*2080/12*AB29*AD29,(U29/(CHOOSE('Budget Period 1'!O29,0,9,12,0,0))*AB29*AD29))))</f>
        <v>0</v>
      </c>
      <c r="AJ29" s="531"/>
      <c r="AK29" s="531"/>
      <c r="AL29" s="532"/>
      <c r="AM29" s="783">
        <f>IF(OR('Budget Period 1'!L29&lt;2,'Budget Period 1'!O29&lt;2),0,IF('Budget Period 1'!L29=4,FringeRate_Y3_PostDoc,CHOOSE('Budget Period 1'!O29,0,FringeRate_Y3_Faculty,FringeRate_Y3_Faculty,FringeRate_Y3_Classified,FringeRate_Y3_LTE)))</f>
        <v>0</v>
      </c>
      <c r="AN29" s="784"/>
      <c r="AO29" s="785">
        <f t="shared" si="2"/>
        <v>0</v>
      </c>
      <c r="AP29" s="786"/>
      <c r="AQ29" s="530">
        <f t="shared" si="3"/>
        <v>0</v>
      </c>
      <c r="AR29" s="531"/>
      <c r="AS29" s="531"/>
      <c r="AT29" s="612"/>
      <c r="AU29" s="137"/>
      <c r="AV29" s="10"/>
    </row>
    <row r="30" spans="2:48" ht="18" customHeight="1" thickBot="1" x14ac:dyDescent="0.25">
      <c r="B30" s="10"/>
      <c r="C30" s="137"/>
      <c r="D30" s="137"/>
      <c r="E30" s="149" t="s">
        <v>109</v>
      </c>
      <c r="F30" s="728">
        <f>'Budget Period 1'!F30:K30</f>
        <v>0</v>
      </c>
      <c r="G30" s="729"/>
      <c r="H30" s="729"/>
      <c r="I30" s="729"/>
      <c r="J30" s="729"/>
      <c r="K30" s="730"/>
      <c r="L30" s="731" t="str">
        <f>CHOOSE('Budget Period 1'!L30,"",'Drop-Down_Options'!$B$25,'Drop-Down_Options'!$B$26,'Drop-Down_Options'!$B$27,'Drop-Down_Options'!$B$28)</f>
        <v/>
      </c>
      <c r="M30" s="732"/>
      <c r="N30" s="733"/>
      <c r="O30" s="731" t="str">
        <f>CHOOSE('Budget Period 1'!O30,"",'Drop-Down_Options'!$B$35,'Drop-Down_Options'!$B$36,"Classified","LTE")</f>
        <v/>
      </c>
      <c r="P30" s="732"/>
      <c r="Q30" s="732"/>
      <c r="R30" s="732"/>
      <c r="S30" s="732"/>
      <c r="T30" s="733"/>
      <c r="U30" s="734">
        <f>'Budget Period 2'!U30*(1+IF(L30="PI",Data_SalaryInflationRatePI,Data_SalaryInflationRate))</f>
        <v>0</v>
      </c>
      <c r="V30" s="735"/>
      <c r="W30" s="735"/>
      <c r="X30" s="736"/>
      <c r="Y30" s="115">
        <v>1</v>
      </c>
      <c r="Z30" s="120"/>
      <c r="AA30" s="321" t="str">
        <f t="shared" si="0"/>
        <v/>
      </c>
      <c r="AB30" s="598"/>
      <c r="AC30" s="599"/>
      <c r="AD30" s="647"/>
      <c r="AE30" s="648"/>
      <c r="AF30" s="648"/>
      <c r="AG30" s="600">
        <f t="shared" si="1"/>
        <v>0</v>
      </c>
      <c r="AH30" s="601"/>
      <c r="AI30" s="649">
        <f>(IF(OR('Budget Period 1'!L30&lt;2,'Budget Period 1'!O30&lt;2),0,IF(OR('Budget Period 1'!O30=4,'Budget Period 1'!O30=5),U30*2080/12*AB30*AD30,(U30/(CHOOSE('Budget Period 1'!O30,0,9,12,0,0))*AB30*AD30))))</f>
        <v>0</v>
      </c>
      <c r="AJ30" s="650"/>
      <c r="AK30" s="650"/>
      <c r="AL30" s="651"/>
      <c r="AM30" s="819">
        <f>IF(OR('Budget Period 1'!L30&lt;2,'Budget Period 1'!O30&lt;2),0,IF('Budget Period 1'!L30=4,FringeRate_Y3_PostDoc,CHOOSE('Budget Period 1'!O30,0,FringeRate_Y3_Faculty,FringeRate_Y3_Faculty,FringeRate_Y3_Classified,FringeRate_Y3_LTE)))</f>
        <v>0</v>
      </c>
      <c r="AN30" s="820"/>
      <c r="AO30" s="808">
        <f t="shared" si="2"/>
        <v>0</v>
      </c>
      <c r="AP30" s="809"/>
      <c r="AQ30" s="649">
        <f t="shared" si="3"/>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0">
        <f>SUM(AI11:AL30)</f>
        <v>0</v>
      </c>
      <c r="AJ32" s="811"/>
      <c r="AK32" s="811"/>
      <c r="AL32" s="812"/>
      <c r="AM32" s="154"/>
      <c r="AN32" s="154"/>
      <c r="AO32" s="810">
        <f>SUM(AO11:AP30)</f>
        <v>0</v>
      </c>
      <c r="AP32" s="811"/>
      <c r="AQ32" s="810">
        <f>SUM(AQ11:AT30)</f>
        <v>0</v>
      </c>
      <c r="AR32" s="811"/>
      <c r="AS32" s="811"/>
      <c r="AT32" s="812"/>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82" t="s">
        <v>433</v>
      </c>
      <c r="G35" s="518"/>
      <c r="H35" s="518"/>
      <c r="I35" s="518"/>
      <c r="J35" s="518"/>
      <c r="K35" s="518"/>
      <c r="L35" s="518"/>
      <c r="M35" s="518"/>
      <c r="N35" s="518"/>
      <c r="O35" s="518"/>
      <c r="P35" s="518"/>
      <c r="Q35" s="518"/>
      <c r="R35" s="518" t="s">
        <v>119</v>
      </c>
      <c r="S35" s="518"/>
      <c r="T35" s="518" t="s">
        <v>122</v>
      </c>
      <c r="U35" s="518"/>
      <c r="V35" s="518"/>
      <c r="W35" s="518"/>
      <c r="X35" s="518"/>
      <c r="Y35" s="518" t="s">
        <v>121</v>
      </c>
      <c r="Z35" s="518"/>
      <c r="AA35" s="518"/>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774"/>
      <c r="G36" s="775"/>
      <c r="H36" s="775"/>
      <c r="I36" s="775"/>
      <c r="J36" s="775"/>
      <c r="K36" s="775"/>
      <c r="L36" s="775"/>
      <c r="M36" s="775"/>
      <c r="N36" s="775"/>
      <c r="O36" s="775"/>
      <c r="P36" s="775"/>
      <c r="Q36" s="775"/>
      <c r="R36" s="775"/>
      <c r="S36" s="775"/>
      <c r="T36" s="775"/>
      <c r="U36" s="775"/>
      <c r="V36" s="775"/>
      <c r="W36" s="775"/>
      <c r="X36" s="775"/>
      <c r="Y36" s="775"/>
      <c r="Z36" s="775"/>
      <c r="AA36" s="776"/>
      <c r="AB36" s="765"/>
      <c r="AC36" s="766"/>
      <c r="AD36" s="767"/>
      <c r="AE36" s="137"/>
      <c r="AF36" s="687">
        <f>IF(OR(AB36="",Calc!F65=1),0,(AB36*TuitionRemission_GradAssistants_Y3)/IF(Calc!F65&lt;=5,1,2))</f>
        <v>0</v>
      </c>
      <c r="AG36" s="688"/>
      <c r="AH36" s="669"/>
      <c r="AI36" s="793">
        <f>IF(OR(Calc!D65=1,Calc!E65=1,Calc!F65=1),0,Calc!J65*AB36)</f>
        <v>0</v>
      </c>
      <c r="AJ36" s="802"/>
      <c r="AK36" s="802"/>
      <c r="AL36" s="794"/>
      <c r="AM36" s="800">
        <f>IF(AB36&gt;0,FringeRate_Y3_GradStudent,0)</f>
        <v>0</v>
      </c>
      <c r="AN36" s="801"/>
      <c r="AO36" s="793">
        <f>AM36*AI36</f>
        <v>0</v>
      </c>
      <c r="AP36" s="794"/>
      <c r="AQ36" s="793">
        <f>R36*T36+AC36+AF36+AI36+AO36</f>
        <v>0</v>
      </c>
      <c r="AR36" s="802"/>
      <c r="AS36" s="802"/>
      <c r="AT36" s="816"/>
      <c r="AU36" s="137"/>
      <c r="AV36" s="10"/>
    </row>
    <row r="37" spans="2:48" ht="20.100000000000001" customHeight="1" x14ac:dyDescent="0.2">
      <c r="B37" s="10"/>
      <c r="C37" s="137"/>
      <c r="D37" s="137"/>
      <c r="E37" s="342" t="s">
        <v>92</v>
      </c>
      <c r="F37" s="771"/>
      <c r="G37" s="772"/>
      <c r="H37" s="772"/>
      <c r="I37" s="772"/>
      <c r="J37" s="772"/>
      <c r="K37" s="772"/>
      <c r="L37" s="772"/>
      <c r="M37" s="772"/>
      <c r="N37" s="772"/>
      <c r="O37" s="772"/>
      <c r="P37" s="772"/>
      <c r="Q37" s="772"/>
      <c r="R37" s="772"/>
      <c r="S37" s="772"/>
      <c r="T37" s="772"/>
      <c r="U37" s="772"/>
      <c r="V37" s="772"/>
      <c r="W37" s="772"/>
      <c r="X37" s="772"/>
      <c r="Y37" s="772"/>
      <c r="Z37" s="772"/>
      <c r="AA37" s="773"/>
      <c r="AB37" s="655"/>
      <c r="AC37" s="656"/>
      <c r="AD37" s="657"/>
      <c r="AE37" s="137"/>
      <c r="AF37" s="642">
        <f>IF(OR(AB37="",Calc!F66=1),0,(AB37*TuitionRemission_GradAssistants_Y3)/IF(Calc!F66&lt;=5,1,2))</f>
        <v>0</v>
      </c>
      <c r="AG37" s="643"/>
      <c r="AH37" s="644"/>
      <c r="AI37" s="795">
        <f>IF(OR(Calc!D66=1,Calc!E66=1,Calc!F66=1),0,Calc!J66*AB37)</f>
        <v>0</v>
      </c>
      <c r="AJ37" s="803"/>
      <c r="AK37" s="803"/>
      <c r="AL37" s="796"/>
      <c r="AM37" s="804">
        <f>IF(AB37&gt;0,FringeRate_Y3_GradStudent,0)</f>
        <v>0</v>
      </c>
      <c r="AN37" s="805"/>
      <c r="AO37" s="795">
        <f t="shared" ref="AO37:AO40" si="4">AM37*AI37</f>
        <v>0</v>
      </c>
      <c r="AP37" s="796"/>
      <c r="AQ37" s="795">
        <f t="shared" ref="AQ37:AQ40" si="5">R37*T37+AC37+AF37+AI37+AO37</f>
        <v>0</v>
      </c>
      <c r="AR37" s="803"/>
      <c r="AS37" s="803"/>
      <c r="AT37" s="817"/>
      <c r="AU37" s="137"/>
      <c r="AV37" s="10"/>
    </row>
    <row r="38" spans="2:48" ht="20.100000000000001" customHeight="1" x14ac:dyDescent="0.2">
      <c r="B38" s="10"/>
      <c r="C38" s="137"/>
      <c r="D38" s="137"/>
      <c r="E38" s="342" t="s">
        <v>93</v>
      </c>
      <c r="F38" s="771"/>
      <c r="G38" s="772"/>
      <c r="H38" s="772"/>
      <c r="I38" s="772"/>
      <c r="J38" s="772"/>
      <c r="K38" s="772"/>
      <c r="L38" s="772"/>
      <c r="M38" s="772"/>
      <c r="N38" s="772"/>
      <c r="O38" s="772"/>
      <c r="P38" s="772"/>
      <c r="Q38" s="772"/>
      <c r="R38" s="772"/>
      <c r="S38" s="772"/>
      <c r="T38" s="772"/>
      <c r="U38" s="772"/>
      <c r="V38" s="772"/>
      <c r="W38" s="772"/>
      <c r="X38" s="772"/>
      <c r="Y38" s="772"/>
      <c r="Z38" s="772"/>
      <c r="AA38" s="773"/>
      <c r="AB38" s="655"/>
      <c r="AC38" s="656"/>
      <c r="AD38" s="657"/>
      <c r="AE38" s="137"/>
      <c r="AF38" s="642">
        <f>IF(OR(AB38="",Calc!F67=1),0,(AB38*TuitionRemission_GradAssistants_Y3)/IF(Calc!F67&lt;=5,1,2))</f>
        <v>0</v>
      </c>
      <c r="AG38" s="643"/>
      <c r="AH38" s="644"/>
      <c r="AI38" s="795">
        <f>IF(OR(Calc!D67=1,Calc!E67=1,Calc!F67=1),0,Calc!J67*AB38)</f>
        <v>0</v>
      </c>
      <c r="AJ38" s="803"/>
      <c r="AK38" s="803"/>
      <c r="AL38" s="796"/>
      <c r="AM38" s="804">
        <f>IF(AB38&gt;0,FringeRate_Y3_GradStudent,0)</f>
        <v>0</v>
      </c>
      <c r="AN38" s="805"/>
      <c r="AO38" s="795">
        <f t="shared" si="4"/>
        <v>0</v>
      </c>
      <c r="AP38" s="796"/>
      <c r="AQ38" s="795">
        <f t="shared" si="5"/>
        <v>0</v>
      </c>
      <c r="AR38" s="803"/>
      <c r="AS38" s="803"/>
      <c r="AT38" s="817"/>
      <c r="AU38" s="137"/>
      <c r="AV38" s="10"/>
    </row>
    <row r="39" spans="2:48" ht="20.100000000000001" customHeight="1" x14ac:dyDescent="0.2">
      <c r="B39" s="10"/>
      <c r="C39" s="137"/>
      <c r="D39" s="137"/>
      <c r="E39" s="342" t="s">
        <v>94</v>
      </c>
      <c r="F39" s="771"/>
      <c r="G39" s="772"/>
      <c r="H39" s="772"/>
      <c r="I39" s="772"/>
      <c r="J39" s="772"/>
      <c r="K39" s="772"/>
      <c r="L39" s="772"/>
      <c r="M39" s="772"/>
      <c r="N39" s="772"/>
      <c r="O39" s="772"/>
      <c r="P39" s="772"/>
      <c r="Q39" s="772"/>
      <c r="R39" s="772"/>
      <c r="S39" s="772"/>
      <c r="T39" s="772"/>
      <c r="U39" s="772"/>
      <c r="V39" s="772"/>
      <c r="W39" s="772"/>
      <c r="X39" s="772"/>
      <c r="Y39" s="772"/>
      <c r="Z39" s="772"/>
      <c r="AA39" s="773"/>
      <c r="AB39" s="655"/>
      <c r="AC39" s="656"/>
      <c r="AD39" s="657"/>
      <c r="AE39" s="137"/>
      <c r="AF39" s="642">
        <f>IF(OR(AB39="",Calc!F68=1),0,(AB39*TuitionRemission_GradAssistants_Y3)/IF(Calc!F68&lt;=5,1,2))</f>
        <v>0</v>
      </c>
      <c r="AG39" s="643"/>
      <c r="AH39" s="644"/>
      <c r="AI39" s="795">
        <f>IF(OR(Calc!D68=1,Calc!E68=1,Calc!F68=1),0,Calc!J68*AB39)</f>
        <v>0</v>
      </c>
      <c r="AJ39" s="803"/>
      <c r="AK39" s="803"/>
      <c r="AL39" s="796"/>
      <c r="AM39" s="804">
        <f>IF(AB39&gt;0,FringeRate_Y3_GradStudent,0)</f>
        <v>0</v>
      </c>
      <c r="AN39" s="805"/>
      <c r="AO39" s="795">
        <f t="shared" si="4"/>
        <v>0</v>
      </c>
      <c r="AP39" s="796"/>
      <c r="AQ39" s="795">
        <f t="shared" si="5"/>
        <v>0</v>
      </c>
      <c r="AR39" s="803"/>
      <c r="AS39" s="803"/>
      <c r="AT39" s="817"/>
      <c r="AU39" s="137"/>
      <c r="AV39" s="10"/>
    </row>
    <row r="40" spans="2:48" ht="20.100000000000001" customHeight="1" thickBot="1" x14ac:dyDescent="0.25">
      <c r="B40" s="10"/>
      <c r="C40" s="137"/>
      <c r="D40" s="137"/>
      <c r="E40" s="342" t="s">
        <v>95</v>
      </c>
      <c r="F40" s="813"/>
      <c r="G40" s="814"/>
      <c r="H40" s="814"/>
      <c r="I40" s="814"/>
      <c r="J40" s="814"/>
      <c r="K40" s="814"/>
      <c r="L40" s="814"/>
      <c r="M40" s="814"/>
      <c r="N40" s="814"/>
      <c r="O40" s="814"/>
      <c r="P40" s="814"/>
      <c r="Q40" s="814"/>
      <c r="R40" s="814"/>
      <c r="S40" s="814"/>
      <c r="T40" s="814"/>
      <c r="U40" s="814"/>
      <c r="V40" s="814"/>
      <c r="W40" s="814"/>
      <c r="X40" s="814"/>
      <c r="Y40" s="814"/>
      <c r="Z40" s="814"/>
      <c r="AA40" s="815"/>
      <c r="AB40" s="768"/>
      <c r="AC40" s="769"/>
      <c r="AD40" s="770"/>
      <c r="AE40" s="137"/>
      <c r="AF40" s="689">
        <f>IF(OR(AB40="",Calc!F69=1),0,(AB40*TuitionRemission_GradAssistants_Y3)/IF(Calc!F69&lt;=5,1,2))</f>
        <v>0</v>
      </c>
      <c r="AG40" s="482"/>
      <c r="AH40" s="483"/>
      <c r="AI40" s="797">
        <f>IF(OR(Calc!D69=1,Calc!E69=1,Calc!F69=1),0,Calc!J69*AB40)</f>
        <v>0</v>
      </c>
      <c r="AJ40" s="799"/>
      <c r="AK40" s="799"/>
      <c r="AL40" s="798"/>
      <c r="AM40" s="806">
        <f>IF(AB40&gt;0,FringeRate_Y3_GradStudent,0)</f>
        <v>0</v>
      </c>
      <c r="AN40" s="807"/>
      <c r="AO40" s="797">
        <f t="shared" si="4"/>
        <v>0</v>
      </c>
      <c r="AP40" s="798"/>
      <c r="AQ40" s="797">
        <f t="shared" si="5"/>
        <v>0</v>
      </c>
      <c r="AR40" s="799"/>
      <c r="AS40" s="799"/>
      <c r="AT40" s="818"/>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302"/>
      <c r="AF42" s="595">
        <f>SUM(AF36:AH40)</f>
        <v>0</v>
      </c>
      <c r="AG42" s="595"/>
      <c r="AH42" s="595"/>
      <c r="AI42" s="528">
        <f>SUM(AI36:AL40)</f>
        <v>0</v>
      </c>
      <c r="AJ42" s="528"/>
      <c r="AK42" s="528"/>
      <c r="AL42" s="528"/>
      <c r="AM42" s="529"/>
      <c r="AN42" s="529"/>
      <c r="AO42" s="592">
        <f>SUM(AO36:AP40)</f>
        <v>0</v>
      </c>
      <c r="AP42" s="593"/>
      <c r="AQ42" s="592">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779">
        <f>U46/Var_PersonHoursPerMonth</f>
        <v>0</v>
      </c>
      <c r="AH46" s="780"/>
      <c r="AI46" s="823">
        <f>R46*U46</f>
        <v>0</v>
      </c>
      <c r="AJ46" s="821"/>
      <c r="AK46" s="821"/>
      <c r="AL46" s="821"/>
      <c r="AM46" s="828">
        <f>FringeRate_Y3_Student</f>
        <v>2.4E-2</v>
      </c>
      <c r="AN46" s="828"/>
      <c r="AO46" s="821">
        <f>AI46*AM46</f>
        <v>0</v>
      </c>
      <c r="AP46" s="821"/>
      <c r="AQ46" s="821">
        <f>AI46+AO46</f>
        <v>0</v>
      </c>
      <c r="AR46" s="821"/>
      <c r="AS46" s="821"/>
      <c r="AT46" s="822"/>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477"/>
      <c r="V47" s="477"/>
      <c r="W47" s="478"/>
      <c r="X47" s="137"/>
      <c r="Y47" s="137"/>
      <c r="Z47" s="137"/>
      <c r="AA47" s="137"/>
      <c r="AB47" s="137"/>
      <c r="AC47" s="137"/>
      <c r="AD47" s="137"/>
      <c r="AE47" s="137"/>
      <c r="AF47" s="137"/>
      <c r="AG47" s="781">
        <f>U47/Var_PersonHoursPerMonth</f>
        <v>0</v>
      </c>
      <c r="AH47" s="782"/>
      <c r="AI47" s="824">
        <f>R47*U47</f>
        <v>0</v>
      </c>
      <c r="AJ47" s="825"/>
      <c r="AK47" s="825"/>
      <c r="AL47" s="825"/>
      <c r="AM47" s="826">
        <f>FringeRate_Y3_Student</f>
        <v>2.4E-2</v>
      </c>
      <c r="AN47" s="826"/>
      <c r="AO47" s="825">
        <f>AI47*AM47</f>
        <v>0</v>
      </c>
      <c r="AP47" s="825"/>
      <c r="AQ47" s="825">
        <f>AI47+AO47</f>
        <v>0</v>
      </c>
      <c r="AR47" s="825"/>
      <c r="AS47" s="825"/>
      <c r="AT47" s="827"/>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477"/>
      <c r="V48" s="477"/>
      <c r="W48" s="478"/>
      <c r="X48" s="137"/>
      <c r="Y48" s="137"/>
      <c r="Z48" s="137"/>
      <c r="AA48" s="137"/>
      <c r="AB48" s="137"/>
      <c r="AC48" s="137"/>
      <c r="AD48" s="137"/>
      <c r="AE48" s="137"/>
      <c r="AF48" s="137"/>
      <c r="AG48" s="781">
        <f>U48/Var_PersonHoursPerMonth</f>
        <v>0</v>
      </c>
      <c r="AH48" s="782"/>
      <c r="AI48" s="824">
        <f>R48*U48</f>
        <v>0</v>
      </c>
      <c r="AJ48" s="825"/>
      <c r="AK48" s="825"/>
      <c r="AL48" s="825"/>
      <c r="AM48" s="826">
        <f>FringeRate_Y3_Student</f>
        <v>2.4E-2</v>
      </c>
      <c r="AN48" s="826"/>
      <c r="AO48" s="825">
        <f>AI48*AM48</f>
        <v>0</v>
      </c>
      <c r="AP48" s="825"/>
      <c r="AQ48" s="825">
        <f>AI48+AO48</f>
        <v>0</v>
      </c>
      <c r="AR48" s="825"/>
      <c r="AS48" s="825"/>
      <c r="AT48" s="827"/>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477"/>
      <c r="V49" s="477"/>
      <c r="W49" s="478"/>
      <c r="X49" s="137"/>
      <c r="Y49" s="137"/>
      <c r="Z49" s="137"/>
      <c r="AA49" s="137"/>
      <c r="AB49" s="137"/>
      <c r="AC49" s="137"/>
      <c r="AD49" s="137"/>
      <c r="AE49" s="137"/>
      <c r="AF49" s="137"/>
      <c r="AG49" s="781">
        <f>U49/Var_PersonHoursPerMonth</f>
        <v>0</v>
      </c>
      <c r="AH49" s="782"/>
      <c r="AI49" s="824">
        <f>R49*U49</f>
        <v>0</v>
      </c>
      <c r="AJ49" s="825"/>
      <c r="AK49" s="825"/>
      <c r="AL49" s="825"/>
      <c r="AM49" s="826">
        <f>FringeRate_Y3_Student</f>
        <v>2.4E-2</v>
      </c>
      <c r="AN49" s="826"/>
      <c r="AO49" s="825">
        <f>AI49*AM49</f>
        <v>0</v>
      </c>
      <c r="AP49" s="825"/>
      <c r="AQ49" s="825">
        <f>AI49+AO49</f>
        <v>0</v>
      </c>
      <c r="AR49" s="825"/>
      <c r="AS49" s="825"/>
      <c r="AT49" s="827"/>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88"/>
      <c r="V50" s="588"/>
      <c r="W50" s="589"/>
      <c r="X50" s="137"/>
      <c r="Y50" s="137"/>
      <c r="Z50" s="137"/>
      <c r="AA50" s="137"/>
      <c r="AB50" s="137"/>
      <c r="AC50" s="137"/>
      <c r="AD50" s="137"/>
      <c r="AE50" s="137"/>
      <c r="AF50" s="137"/>
      <c r="AG50" s="777">
        <f>U50/Var_PersonHoursPerMonth</f>
        <v>0</v>
      </c>
      <c r="AH50" s="778"/>
      <c r="AI50" s="829">
        <f>R50*U50</f>
        <v>0</v>
      </c>
      <c r="AJ50" s="830"/>
      <c r="AK50" s="830"/>
      <c r="AL50" s="830"/>
      <c r="AM50" s="831">
        <f>FringeRate_Y3_Student</f>
        <v>2.4E-2</v>
      </c>
      <c r="AN50" s="831"/>
      <c r="AO50" s="830">
        <f>AI50*AM50</f>
        <v>0</v>
      </c>
      <c r="AP50" s="830"/>
      <c r="AQ50" s="830">
        <f>AI50+AO50</f>
        <v>0</v>
      </c>
      <c r="AR50" s="830"/>
      <c r="AS50" s="830"/>
      <c r="AT50" s="832"/>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833">
        <f>SUM(AI46:AL50)</f>
        <v>0</v>
      </c>
      <c r="AJ52" s="833"/>
      <c r="AK52" s="833"/>
      <c r="AL52" s="833"/>
      <c r="AM52" s="711"/>
      <c r="AN52" s="711"/>
      <c r="AO52" s="833">
        <f>SUM(AO46:AP50)</f>
        <v>0</v>
      </c>
      <c r="AP52" s="833"/>
      <c r="AQ52" s="833">
        <f>SUM(AQ46:AT50)</f>
        <v>0</v>
      </c>
      <c r="AR52" s="833"/>
      <c r="AS52" s="833"/>
      <c r="AT52" s="83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834">
        <f>SUM(AK56:AN65)</f>
        <v>0</v>
      </c>
      <c r="AQ66" s="835"/>
      <c r="AR66" s="835"/>
      <c r="AS66" s="835"/>
      <c r="AT66" s="836"/>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58"/>
      <c r="AL79" s="458"/>
      <c r="AM79" s="458"/>
      <c r="AN79" s="459"/>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58"/>
      <c r="AL80" s="458"/>
      <c r="AM80" s="458"/>
      <c r="AN80" s="459"/>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58"/>
      <c r="AL81" s="458"/>
      <c r="AM81" s="458"/>
      <c r="AN81" s="459"/>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58"/>
      <c r="AL82" s="458"/>
      <c r="AM82" s="458"/>
      <c r="AN82" s="459"/>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58"/>
      <c r="AL83" s="458"/>
      <c r="AM83" s="458"/>
      <c r="AN83" s="459"/>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58"/>
      <c r="AL84" s="458"/>
      <c r="AM84" s="458"/>
      <c r="AN84" s="459"/>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62"/>
      <c r="AL85" s="462"/>
      <c r="AM85" s="462"/>
      <c r="AN85" s="463"/>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834">
        <f>SUM(AK69:AN76)</f>
        <v>0</v>
      </c>
      <c r="AQ86" s="835"/>
      <c r="AR86" s="835"/>
      <c r="AS86" s="835"/>
      <c r="AT86" s="836"/>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834">
        <f>SUM(AK78:AN85)</f>
        <v>0</v>
      </c>
      <c r="AQ87" s="835"/>
      <c r="AR87" s="835"/>
      <c r="AS87" s="835"/>
      <c r="AT87" s="836"/>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834">
        <f>SUM(AK90:AN99)</f>
        <v>0</v>
      </c>
      <c r="AQ100" s="835"/>
      <c r="AR100" s="835"/>
      <c r="AS100" s="835"/>
      <c r="AT100" s="836"/>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10" t="s">
        <v>171</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t="s">
        <v>217</v>
      </c>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548">
        <f>'Budget Period 1'!F103</f>
        <v>0</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21">
        <f>Data_Subaward_Y1_1+Data_Subaward_Y2_1+Data_Subaward_Y3_1</f>
        <v>0</v>
      </c>
      <c r="AH103" s="521"/>
      <c r="AI103" s="521"/>
      <c r="AJ103" s="521"/>
      <c r="AK103" s="487"/>
      <c r="AL103" s="487"/>
      <c r="AM103" s="487"/>
      <c r="AN103" s="488"/>
      <c r="AO103" s="137"/>
      <c r="AP103" s="137"/>
      <c r="AQ103" s="137"/>
      <c r="AR103" s="137"/>
      <c r="AS103" s="137"/>
      <c r="AT103" s="137"/>
      <c r="AU103" s="137"/>
      <c r="AV103" s="10"/>
    </row>
    <row r="104" spans="2:48" x14ac:dyDescent="0.2">
      <c r="B104" s="10"/>
      <c r="C104" s="137"/>
      <c r="D104" s="137"/>
      <c r="E104" s="149" t="s">
        <v>92</v>
      </c>
      <c r="F104" s="546">
        <f>'Budget Period 1'!F104</f>
        <v>0</v>
      </c>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15">
        <f>Data_Subaward_Y1_2+Data_Subaward_Y2_2+Data_Subaward_Y3_2</f>
        <v>0</v>
      </c>
      <c r="AH104" s="515"/>
      <c r="AI104" s="515"/>
      <c r="AJ104" s="515"/>
      <c r="AK104" s="458"/>
      <c r="AL104" s="458"/>
      <c r="AM104" s="458"/>
      <c r="AN104" s="459"/>
      <c r="AO104" s="137"/>
      <c r="AP104" s="137"/>
      <c r="AQ104" s="137"/>
      <c r="AR104" s="137"/>
      <c r="AS104" s="137"/>
      <c r="AT104" s="137"/>
      <c r="AU104" s="137"/>
      <c r="AV104" s="10"/>
    </row>
    <row r="105" spans="2:48" x14ac:dyDescent="0.2">
      <c r="B105" s="10"/>
      <c r="C105" s="137"/>
      <c r="D105" s="137"/>
      <c r="E105" s="149" t="s">
        <v>93</v>
      </c>
      <c r="F105" s="546">
        <f>'Budget Period 1'!F105</f>
        <v>0</v>
      </c>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15">
        <f>Data_Subaward_Y1_3+Data_Subaward_Y2_3+Data_Subaward_Y3_3</f>
        <v>0</v>
      </c>
      <c r="AH105" s="515"/>
      <c r="AI105" s="515"/>
      <c r="AJ105" s="515"/>
      <c r="AK105" s="458"/>
      <c r="AL105" s="458"/>
      <c r="AM105" s="458"/>
      <c r="AN105" s="459"/>
      <c r="AO105" s="137"/>
      <c r="AP105" s="137"/>
      <c r="AQ105" s="137"/>
      <c r="AR105" s="137"/>
      <c r="AS105" s="137"/>
      <c r="AT105" s="137"/>
      <c r="AU105" s="137"/>
      <c r="AV105" s="10"/>
    </row>
    <row r="106" spans="2:48" x14ac:dyDescent="0.2">
      <c r="B106" s="10"/>
      <c r="C106" s="137"/>
      <c r="D106" s="137"/>
      <c r="E106" s="149" t="s">
        <v>94</v>
      </c>
      <c r="F106" s="546">
        <f>'Budget Period 1'!F106</f>
        <v>0</v>
      </c>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15">
        <f>Data_Subaward_Y1_4+Data_Subaward_Y2_4+Data_Subaward_Y3_4</f>
        <v>0</v>
      </c>
      <c r="AH106" s="515"/>
      <c r="AI106" s="515"/>
      <c r="AJ106" s="515"/>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757">
        <f>'Budget Period 1'!F107</f>
        <v>0</v>
      </c>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575">
        <f>Data_Subaward_Y1_5+Data_Subaward_Y2_5+Data_Subaward_Y3_5</f>
        <v>0</v>
      </c>
      <c r="AH107" s="575"/>
      <c r="AI107" s="575"/>
      <c r="AJ107" s="575"/>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93">
        <f>'Budget Period 1'!F109</f>
        <v>0</v>
      </c>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389"/>
      <c r="AK109" s="487"/>
      <c r="AL109" s="487"/>
      <c r="AM109" s="487"/>
      <c r="AN109" s="488"/>
      <c r="AO109" s="137"/>
      <c r="AP109" s="137"/>
      <c r="AQ109" s="137"/>
      <c r="AR109" s="137"/>
      <c r="AS109" s="137"/>
      <c r="AT109" s="137"/>
      <c r="AU109" s="137"/>
      <c r="AV109" s="10"/>
    </row>
    <row r="110" spans="2:48" x14ac:dyDescent="0.2">
      <c r="B110" s="10"/>
      <c r="C110" s="137"/>
      <c r="D110" s="137"/>
      <c r="E110" s="149" t="s">
        <v>92</v>
      </c>
      <c r="F110" s="495">
        <f>'Budget Period 1'!F110</f>
        <v>0</v>
      </c>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7"/>
      <c r="AK110" s="458"/>
      <c r="AL110" s="458"/>
      <c r="AM110" s="458"/>
      <c r="AN110" s="459"/>
      <c r="AO110" s="137"/>
      <c r="AP110" s="137"/>
      <c r="AQ110" s="137"/>
      <c r="AR110" s="137"/>
      <c r="AS110" s="137"/>
      <c r="AT110" s="137"/>
      <c r="AU110" s="137"/>
      <c r="AV110" s="10"/>
    </row>
    <row r="111" spans="2:48" x14ac:dyDescent="0.2">
      <c r="B111" s="10"/>
      <c r="C111" s="137"/>
      <c r="D111" s="137"/>
      <c r="E111" s="149" t="s">
        <v>93</v>
      </c>
      <c r="F111" s="495">
        <f>'Budget Period 1'!F111</f>
        <v>0</v>
      </c>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7"/>
      <c r="AK111" s="458"/>
      <c r="AL111" s="458"/>
      <c r="AM111" s="458"/>
      <c r="AN111" s="459"/>
      <c r="AO111" s="137"/>
      <c r="AP111" s="137"/>
      <c r="AQ111" s="137"/>
      <c r="AR111" s="137"/>
      <c r="AS111" s="137"/>
      <c r="AT111" s="137"/>
      <c r="AU111" s="137"/>
      <c r="AV111" s="10"/>
    </row>
    <row r="112" spans="2:48" x14ac:dyDescent="0.2">
      <c r="B112" s="10"/>
      <c r="C112" s="137"/>
      <c r="D112" s="137"/>
      <c r="E112" s="149" t="s">
        <v>94</v>
      </c>
      <c r="F112" s="495">
        <f>'Budget Period 1'!F112</f>
        <v>0</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7"/>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759">
        <f>'Budget Period 1'!F113</f>
        <v>0</v>
      </c>
      <c r="G113" s="760"/>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391"/>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834">
        <f>SUM(AK103:AN107,AK109:AN113)</f>
        <v>0</v>
      </c>
      <c r="AQ114" s="835"/>
      <c r="AR114" s="835"/>
      <c r="AS114" s="835"/>
      <c r="AT114" s="836"/>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54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844">
        <f>Result_Tuition_Y3</f>
        <v>0</v>
      </c>
      <c r="AL125" s="844"/>
      <c r="AM125" s="844"/>
      <c r="AN125" s="845"/>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834">
        <f>SUM(AK117:AN129)</f>
        <v>0</v>
      </c>
      <c r="AQ130" s="835"/>
      <c r="AR130" s="835"/>
      <c r="AS130" s="835"/>
      <c r="AT130" s="836"/>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841">
        <f>SUM(AI32,AI42,AI52)</f>
        <v>0</v>
      </c>
      <c r="P134" s="842"/>
      <c r="Q134" s="842"/>
      <c r="R134" s="843"/>
      <c r="S134" s="137"/>
      <c r="T134" s="841">
        <f>SUM(AO32,AO42,AO52)</f>
        <v>0</v>
      </c>
      <c r="U134" s="842"/>
      <c r="V134" s="842"/>
      <c r="W134" s="843"/>
      <c r="X134" s="137"/>
      <c r="Y134" s="137"/>
      <c r="Z134" s="137"/>
      <c r="AA134" s="137"/>
      <c r="AB134" s="137"/>
      <c r="AC134" s="137"/>
      <c r="AD134" s="137"/>
      <c r="AE134" s="137"/>
      <c r="AF134" s="137"/>
      <c r="AG134" s="137"/>
      <c r="AH134" s="137"/>
      <c r="AI134" s="137"/>
      <c r="AJ134" s="137"/>
      <c r="AK134" s="137"/>
      <c r="AL134" s="137"/>
      <c r="AM134" s="137"/>
      <c r="AN134" s="137"/>
      <c r="AO134" s="137"/>
      <c r="AP134" s="834">
        <f>SUM(O134,T134)</f>
        <v>0</v>
      </c>
      <c r="AQ134" s="835"/>
      <c r="AR134" s="835"/>
      <c r="AS134" s="835"/>
      <c r="AT134" s="836"/>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837">
        <f>Result_EquipmentCost_Y3</f>
        <v>0</v>
      </c>
      <c r="P137" s="838"/>
      <c r="Q137" s="838"/>
      <c r="R137" s="839"/>
      <c r="S137" s="137"/>
      <c r="T137" s="837">
        <f>SUM(Result_TravelDomestic_Y3,Result_TravelForeign_Y3)</f>
        <v>0</v>
      </c>
      <c r="U137" s="838"/>
      <c r="V137" s="838"/>
      <c r="W137" s="839"/>
      <c r="X137" s="137"/>
      <c r="Y137" s="837">
        <f>Result_ParticipantCosts_Y3</f>
        <v>0</v>
      </c>
      <c r="Z137" s="838"/>
      <c r="AA137" s="838"/>
      <c r="AB137" s="839"/>
      <c r="AC137" s="137"/>
      <c r="AD137" s="837">
        <f>Result_SubawardCosts_Y3</f>
        <v>0</v>
      </c>
      <c r="AE137" s="838"/>
      <c r="AF137" s="838"/>
      <c r="AG137" s="839"/>
      <c r="AH137" s="137"/>
      <c r="AI137" s="837">
        <f>Result_OtherDirectCosts_Y3</f>
        <v>0</v>
      </c>
      <c r="AJ137" s="838"/>
      <c r="AK137" s="838"/>
      <c r="AL137" s="839"/>
      <c r="AM137" s="137"/>
      <c r="AN137" s="137"/>
      <c r="AO137" s="137"/>
      <c r="AP137" s="834">
        <f>SUM(O137,T137,Y137,AD137,AI137)</f>
        <v>0</v>
      </c>
      <c r="AQ137" s="835"/>
      <c r="AR137" s="835"/>
      <c r="AS137" s="835"/>
      <c r="AT137" s="836"/>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834">
        <f>SUM(Result_PersonnelCosts_Y3,Result_EquipmentCost_Y3,Result_TravelTotal_Y3,Result_ParticipantCosts_Y3,Result_SubawardCosts_Y3,Result_OtherDirectCosts_Y3)</f>
        <v>0</v>
      </c>
      <c r="AQ139" s="835"/>
      <c r="AR139" s="835"/>
      <c r="AS139" s="835"/>
      <c r="AT139" s="836"/>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840">
        <f>Result_TotalDirectCosts_Y3-Result_SubawardCosts_UW_Y3-IF(Data_Exclude_SalariesWages,Result_SalariesWages_Y3,0)-IF(Data_Exclude_Fringes,Result_FringeBenefits_Y3,0)-IF(Data_Exclude_Tuition,Result_TuitionTOTAL_Y3,0)-IF(Data_Exclude_Equipment,Result_EquipmentCost_Y3,0)-IF(Data_Exclude_Travel,Result_TravelTotal_Y3,0)-IF(Data_Exclude_ParticipantCosts,Result_ParticipantCosts_Y3,0)-IF(Data_Exclude_NonUWSubawards,Result_SubawardCosts_NonUW_Y3,IF(Data_Exclude_NonUWSubawardsExceeding25K,Result_SubawardCosts_NonUW_Y3-Result_SubawardBase_Y3_TOTAL,0))-IF(Data_Exclude_OtherCosts,Result_OtherDirectCosts_Y3-Result_TuitionTOTAL_Y3,0)</f>
        <v>0</v>
      </c>
      <c r="AQ140" s="840"/>
      <c r="AR140" s="840"/>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834">
        <f>CHOOSE('Drop-Down_Options'!E14,0,Result_TotalDirectCosts_Y3 - Result_SubawardCosts_UW_Y3,(Result_TotalDirectCosts_Y3-Result_EquipmentCost_Y3-Result_ParticipantCosts_Y3-Result_TuitionTOTAL_Y3-(Result_SubawardCosts_Y3-Result_SubawardBase_Y3_TOTAL)),AP140)</f>
        <v>0</v>
      </c>
      <c r="AQ141" s="835"/>
      <c r="AR141" s="835"/>
      <c r="AS141" s="835"/>
      <c r="AT141" s="836"/>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834">
        <f>AP141*FA_Rate_Y3</f>
        <v>0</v>
      </c>
      <c r="AQ143" s="835"/>
      <c r="AR143" s="835"/>
      <c r="AS143" s="835"/>
      <c r="AT143" s="836"/>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173</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834">
        <f>SUM(Result_TotalDirectCosts_Y3,Result_IndirectCosts_Y3)</f>
        <v>0</v>
      </c>
      <c r="AQ145" s="835"/>
      <c r="AR145" s="835"/>
      <c r="AS145" s="835"/>
      <c r="AT145" s="836"/>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W150" s="22"/>
    </row>
    <row r="151" spans="2:48" ht="12.75" customHeight="1" x14ac:dyDescent="0.4">
      <c r="U151" s="22"/>
    </row>
  </sheetData>
  <sheetProtection algorithmName="SHA-512" hashValue="q9YawDX/VwqD8tEgR6mD1KWdiDoinxycYnrL1ZY2yijRD2b7Vy8zguVIh1/TyepmBPkQJuC6qAdYUNaiL77TbQ==" saltValue="oJtA9bVlw2OECe8QQ8sXVg==" spinCount="100000" sheet="1" selectLockedCells="1"/>
  <mergeCells count="515">
    <mergeCell ref="R8:AT9"/>
    <mergeCell ref="AK96:AN96"/>
    <mergeCell ref="F83:AJ83"/>
    <mergeCell ref="AK83:AN83"/>
    <mergeCell ref="F84:AJ84"/>
    <mergeCell ref="AK84:AN84"/>
    <mergeCell ref="F85:AJ85"/>
    <mergeCell ref="AK85:AN85"/>
    <mergeCell ref="AP86:AT86"/>
    <mergeCell ref="F77:AJ77"/>
    <mergeCell ref="AK77:AN77"/>
    <mergeCell ref="F78:AJ78"/>
    <mergeCell ref="AK78:AN78"/>
    <mergeCell ref="F79:AJ79"/>
    <mergeCell ref="AK79:AN79"/>
    <mergeCell ref="F80:AJ80"/>
    <mergeCell ref="AK80:AN80"/>
    <mergeCell ref="F92:L99"/>
    <mergeCell ref="M93:AJ93"/>
    <mergeCell ref="M94:AJ94"/>
    <mergeCell ref="M95:AJ95"/>
    <mergeCell ref="M96:AJ96"/>
    <mergeCell ref="M97:AJ97"/>
    <mergeCell ref="M98:AJ98"/>
    <mergeCell ref="AB35:AD35"/>
    <mergeCell ref="AB36:AD36"/>
    <mergeCell ref="AB37:AD37"/>
    <mergeCell ref="AB38:AD38"/>
    <mergeCell ref="AB39:AD39"/>
    <mergeCell ref="AB40:AD40"/>
    <mergeCell ref="F82:AJ82"/>
    <mergeCell ref="AK82:AN82"/>
    <mergeCell ref="F61:AJ61"/>
    <mergeCell ref="AK61:AN61"/>
    <mergeCell ref="F62:AJ62"/>
    <mergeCell ref="AK62:AN62"/>
    <mergeCell ref="F63:AJ63"/>
    <mergeCell ref="AK63:AN63"/>
    <mergeCell ref="F64:AJ64"/>
    <mergeCell ref="AK64:AN64"/>
    <mergeCell ref="F65:AJ65"/>
    <mergeCell ref="AK65:AN65"/>
    <mergeCell ref="F56:AJ56"/>
    <mergeCell ref="AK56:AN56"/>
    <mergeCell ref="F57:AJ57"/>
    <mergeCell ref="AK57:AN57"/>
    <mergeCell ref="F58:AJ58"/>
    <mergeCell ref="AK58:AN58"/>
    <mergeCell ref="AP134:AT134"/>
    <mergeCell ref="F126:L126"/>
    <mergeCell ref="M126:AJ126"/>
    <mergeCell ref="AK126:AN126"/>
    <mergeCell ref="F118:L118"/>
    <mergeCell ref="M118:AJ118"/>
    <mergeCell ref="AK118:AN118"/>
    <mergeCell ref="M119:AJ119"/>
    <mergeCell ref="AK119:AN119"/>
    <mergeCell ref="F123:L123"/>
    <mergeCell ref="M123:AJ123"/>
    <mergeCell ref="AK123:AN123"/>
    <mergeCell ref="M127:AJ127"/>
    <mergeCell ref="F127:L129"/>
    <mergeCell ref="M129:AJ129"/>
    <mergeCell ref="M120:AJ120"/>
    <mergeCell ref="M121:AJ121"/>
    <mergeCell ref="M122:AJ122"/>
    <mergeCell ref="AK120:AN120"/>
    <mergeCell ref="AK121:AN121"/>
    <mergeCell ref="AK122:AN122"/>
    <mergeCell ref="F119:L122"/>
    <mergeCell ref="F124:L124"/>
    <mergeCell ref="F125:L125"/>
    <mergeCell ref="AG103:AJ103"/>
    <mergeCell ref="F104:AF104"/>
    <mergeCell ref="AK93:AN93"/>
    <mergeCell ref="AK94:AN94"/>
    <mergeCell ref="AK97:AN97"/>
    <mergeCell ref="AK98:AN98"/>
    <mergeCell ref="AK99:AN99"/>
    <mergeCell ref="AK105:AN105"/>
    <mergeCell ref="AK106:AN106"/>
    <mergeCell ref="F106:AF106"/>
    <mergeCell ref="AG106:AJ106"/>
    <mergeCell ref="AG104:AJ104"/>
    <mergeCell ref="F105:AF105"/>
    <mergeCell ref="M99:AJ99"/>
    <mergeCell ref="O136:R136"/>
    <mergeCell ref="T136:W136"/>
    <mergeCell ref="AD136:AG136"/>
    <mergeCell ref="AI136:AL136"/>
    <mergeCell ref="AP143:AT143"/>
    <mergeCell ref="AG105:AJ105"/>
    <mergeCell ref="AP137:AT137"/>
    <mergeCell ref="Y136:AB136"/>
    <mergeCell ref="O133:R133"/>
    <mergeCell ref="T133:W133"/>
    <mergeCell ref="AK127:AN127"/>
    <mergeCell ref="AK128:AN128"/>
    <mergeCell ref="O134:R134"/>
    <mergeCell ref="T134:W134"/>
    <mergeCell ref="M124:AJ124"/>
    <mergeCell ref="AK124:AN124"/>
    <mergeCell ref="AK129:AN129"/>
    <mergeCell ref="AP130:AT130"/>
    <mergeCell ref="M125:AJ125"/>
    <mergeCell ref="AK125:AN125"/>
    <mergeCell ref="AK112:AN112"/>
    <mergeCell ref="F113:AJ113"/>
    <mergeCell ref="AK113:AN113"/>
    <mergeCell ref="AP114:AT114"/>
    <mergeCell ref="AP145:AT145"/>
    <mergeCell ref="O137:R137"/>
    <mergeCell ref="T137:W137"/>
    <mergeCell ref="Y137:AB137"/>
    <mergeCell ref="AD137:AG137"/>
    <mergeCell ref="AI137:AL137"/>
    <mergeCell ref="AP139:AT139"/>
    <mergeCell ref="AP140:AR140"/>
    <mergeCell ref="AP141:AT141"/>
    <mergeCell ref="AK92:AN92"/>
    <mergeCell ref="F90:L90"/>
    <mergeCell ref="F91:L91"/>
    <mergeCell ref="M90:AJ90"/>
    <mergeCell ref="M91:AJ91"/>
    <mergeCell ref="M92:AJ92"/>
    <mergeCell ref="F116:AJ116"/>
    <mergeCell ref="AK116:AN116"/>
    <mergeCell ref="F117:L117"/>
    <mergeCell ref="M117:AJ117"/>
    <mergeCell ref="AK117:AN117"/>
    <mergeCell ref="F109:AJ109"/>
    <mergeCell ref="AK109:AN109"/>
    <mergeCell ref="F107:AF107"/>
    <mergeCell ref="AG107:AJ107"/>
    <mergeCell ref="F110:AJ110"/>
    <mergeCell ref="AK110:AN110"/>
    <mergeCell ref="AK107:AN107"/>
    <mergeCell ref="F111:AJ111"/>
    <mergeCell ref="AK111:AN111"/>
    <mergeCell ref="F108:AJ108"/>
    <mergeCell ref="AK108:AN108"/>
    <mergeCell ref="F112:AJ112"/>
    <mergeCell ref="F103:AF103"/>
    <mergeCell ref="AP100:AT100"/>
    <mergeCell ref="AK102:AN102"/>
    <mergeCell ref="AK103:AN103"/>
    <mergeCell ref="F102:AF102"/>
    <mergeCell ref="AG102:AJ102"/>
    <mergeCell ref="AK104:AN104"/>
    <mergeCell ref="F81:AJ81"/>
    <mergeCell ref="AK81:AN81"/>
    <mergeCell ref="F72:AJ72"/>
    <mergeCell ref="AK72:AN72"/>
    <mergeCell ref="F73:AJ73"/>
    <mergeCell ref="AK73:AN73"/>
    <mergeCell ref="F74:AJ74"/>
    <mergeCell ref="AK74:AN74"/>
    <mergeCell ref="F75:AJ75"/>
    <mergeCell ref="AK75:AN75"/>
    <mergeCell ref="F76:AJ76"/>
    <mergeCell ref="AK76:AN76"/>
    <mergeCell ref="AP87:AT87"/>
    <mergeCell ref="F89:AJ89"/>
    <mergeCell ref="AK89:AN89"/>
    <mergeCell ref="AK90:AN90"/>
    <mergeCell ref="AK91:AN91"/>
    <mergeCell ref="AK95:AN95"/>
    <mergeCell ref="AP66:AT66"/>
    <mergeCell ref="F68:AJ68"/>
    <mergeCell ref="AK68:AN68"/>
    <mergeCell ref="F69:AJ69"/>
    <mergeCell ref="AK69:AN69"/>
    <mergeCell ref="F70:AJ70"/>
    <mergeCell ref="AK70:AN70"/>
    <mergeCell ref="F71:AJ71"/>
    <mergeCell ref="AK71:AN71"/>
    <mergeCell ref="F59:AJ59"/>
    <mergeCell ref="AK59:AN59"/>
    <mergeCell ref="F60:AJ60"/>
    <mergeCell ref="AK60:AN60"/>
    <mergeCell ref="AI52:AL52"/>
    <mergeCell ref="AM52:AN52"/>
    <mergeCell ref="AO52:AP52"/>
    <mergeCell ref="AQ52:AT52"/>
    <mergeCell ref="F55:AJ55"/>
    <mergeCell ref="AK55:AN55"/>
    <mergeCell ref="F50:Q50"/>
    <mergeCell ref="R50:T50"/>
    <mergeCell ref="U50:W50"/>
    <mergeCell ref="AQ49:AT49"/>
    <mergeCell ref="F48:Q48"/>
    <mergeCell ref="R48:T48"/>
    <mergeCell ref="U48:W48"/>
    <mergeCell ref="AI48:AL48"/>
    <mergeCell ref="AM48:AN48"/>
    <mergeCell ref="AO48:AP48"/>
    <mergeCell ref="AG49:AH49"/>
    <mergeCell ref="AI50:AL50"/>
    <mergeCell ref="AM50:AN50"/>
    <mergeCell ref="AO50:AP50"/>
    <mergeCell ref="AQ48:AT48"/>
    <mergeCell ref="F49:Q49"/>
    <mergeCell ref="R49:T49"/>
    <mergeCell ref="U49:W49"/>
    <mergeCell ref="AI49:AL49"/>
    <mergeCell ref="AM49:AN49"/>
    <mergeCell ref="AO49:AP49"/>
    <mergeCell ref="AQ50:AT50"/>
    <mergeCell ref="AQ46:AT46"/>
    <mergeCell ref="AO45:AP45"/>
    <mergeCell ref="AQ45:AT45"/>
    <mergeCell ref="U46:W46"/>
    <mergeCell ref="AI46:AL46"/>
    <mergeCell ref="F47:Q47"/>
    <mergeCell ref="R47:T47"/>
    <mergeCell ref="U47:W47"/>
    <mergeCell ref="AI47:AL47"/>
    <mergeCell ref="AM47:AN47"/>
    <mergeCell ref="AO47:AP47"/>
    <mergeCell ref="AQ47:AT47"/>
    <mergeCell ref="F46:Q46"/>
    <mergeCell ref="R46:T46"/>
    <mergeCell ref="AM46:AN46"/>
    <mergeCell ref="AO46:AP46"/>
    <mergeCell ref="V5:AF5"/>
    <mergeCell ref="F40:AA40"/>
    <mergeCell ref="AF42:AH42"/>
    <mergeCell ref="AI42:AL42"/>
    <mergeCell ref="AM42:AN42"/>
    <mergeCell ref="AO42:AP42"/>
    <mergeCell ref="F45:Q45"/>
    <mergeCell ref="R45:T45"/>
    <mergeCell ref="U45:W45"/>
    <mergeCell ref="AI45:AL45"/>
    <mergeCell ref="AM45:AN45"/>
    <mergeCell ref="V6:AF6"/>
    <mergeCell ref="AG5:AT6"/>
    <mergeCell ref="AQ36:AT36"/>
    <mergeCell ref="AQ37:AT37"/>
    <mergeCell ref="AQ38:AT38"/>
    <mergeCell ref="AQ39:AT39"/>
    <mergeCell ref="AQ40:AT40"/>
    <mergeCell ref="AG29:AH29"/>
    <mergeCell ref="AI29:AL29"/>
    <mergeCell ref="AM29:AN29"/>
    <mergeCell ref="AG30:AH30"/>
    <mergeCell ref="AI30:AL30"/>
    <mergeCell ref="AM30:AN30"/>
    <mergeCell ref="AO30:AP30"/>
    <mergeCell ref="AQ30:AT30"/>
    <mergeCell ref="AI32:AL32"/>
    <mergeCell ref="AO32:AP32"/>
    <mergeCell ref="AQ32:AT32"/>
    <mergeCell ref="AF35:AH35"/>
    <mergeCell ref="AI35:AL35"/>
    <mergeCell ref="AM35:AN35"/>
    <mergeCell ref="AO35:AP35"/>
    <mergeCell ref="AQ35:AT35"/>
    <mergeCell ref="AQ42:AT42"/>
    <mergeCell ref="AO36:AP36"/>
    <mergeCell ref="AO37:AP37"/>
    <mergeCell ref="AO38:AP38"/>
    <mergeCell ref="AO39:AP39"/>
    <mergeCell ref="AO40:AP40"/>
    <mergeCell ref="AF36:AH36"/>
    <mergeCell ref="AF37:AH37"/>
    <mergeCell ref="AF38:AH38"/>
    <mergeCell ref="AF39:AH39"/>
    <mergeCell ref="AI40:AL40"/>
    <mergeCell ref="AM36:AN36"/>
    <mergeCell ref="AI36:AL36"/>
    <mergeCell ref="AI37:AL37"/>
    <mergeCell ref="AI38:AL38"/>
    <mergeCell ref="AI39:AL39"/>
    <mergeCell ref="AM37:AN37"/>
    <mergeCell ref="AM38:AN38"/>
    <mergeCell ref="AM39:AN39"/>
    <mergeCell ref="AM40:AN40"/>
    <mergeCell ref="F30:K30"/>
    <mergeCell ref="L30:N30"/>
    <mergeCell ref="O30:T30"/>
    <mergeCell ref="U30:X30"/>
    <mergeCell ref="AB30:AC30"/>
    <mergeCell ref="F29:K29"/>
    <mergeCell ref="L29:N29"/>
    <mergeCell ref="O29:T29"/>
    <mergeCell ref="AD30:AF30"/>
    <mergeCell ref="AM28:AN28"/>
    <mergeCell ref="AO28:AP28"/>
    <mergeCell ref="AQ28:AT28"/>
    <mergeCell ref="AG27:AH27"/>
    <mergeCell ref="AI27:AL27"/>
    <mergeCell ref="AM27:AN27"/>
    <mergeCell ref="AO27:AP27"/>
    <mergeCell ref="AQ27:AT27"/>
    <mergeCell ref="U29:X29"/>
    <mergeCell ref="AB29:AC29"/>
    <mergeCell ref="AD29:AF29"/>
    <mergeCell ref="AD28:AF28"/>
    <mergeCell ref="AG28:AH28"/>
    <mergeCell ref="AI28:AL28"/>
    <mergeCell ref="AO29:AP29"/>
    <mergeCell ref="AQ29:AT29"/>
    <mergeCell ref="F28:K28"/>
    <mergeCell ref="L28:N28"/>
    <mergeCell ref="O28:T28"/>
    <mergeCell ref="U28:X28"/>
    <mergeCell ref="AB28:AC28"/>
    <mergeCell ref="F27:K27"/>
    <mergeCell ref="L27:N27"/>
    <mergeCell ref="O27:T27"/>
    <mergeCell ref="U27:X27"/>
    <mergeCell ref="AB27:AC27"/>
    <mergeCell ref="AQ26:AT26"/>
    <mergeCell ref="AG25:AH25"/>
    <mergeCell ref="AI25:AL25"/>
    <mergeCell ref="AM25:AN25"/>
    <mergeCell ref="AO25:AP25"/>
    <mergeCell ref="AQ25:AT25"/>
    <mergeCell ref="AD27:AF27"/>
    <mergeCell ref="AD26:AF26"/>
    <mergeCell ref="AG26:AH26"/>
    <mergeCell ref="AI26:AL26"/>
    <mergeCell ref="AM26:AN26"/>
    <mergeCell ref="AO26:AP26"/>
    <mergeCell ref="AD25:AF25"/>
    <mergeCell ref="F26:K26"/>
    <mergeCell ref="L26:N26"/>
    <mergeCell ref="O26:T26"/>
    <mergeCell ref="U26:X26"/>
    <mergeCell ref="AB26:AC26"/>
    <mergeCell ref="F25:K25"/>
    <mergeCell ref="L25:N25"/>
    <mergeCell ref="O25:T25"/>
    <mergeCell ref="U25:X25"/>
    <mergeCell ref="AB25:AC25"/>
    <mergeCell ref="F23:K23"/>
    <mergeCell ref="L23:N23"/>
    <mergeCell ref="O23:T23"/>
    <mergeCell ref="U23:X23"/>
    <mergeCell ref="AB23:AC23"/>
    <mergeCell ref="AQ24:AT24"/>
    <mergeCell ref="AG23:AH23"/>
    <mergeCell ref="AI23:AL23"/>
    <mergeCell ref="AM23:AN23"/>
    <mergeCell ref="AO23:AP23"/>
    <mergeCell ref="AQ23:AT23"/>
    <mergeCell ref="AD24:AF24"/>
    <mergeCell ref="AG24:AH24"/>
    <mergeCell ref="AI24:AL24"/>
    <mergeCell ref="AM24:AN24"/>
    <mergeCell ref="AO24:AP24"/>
    <mergeCell ref="AB24:AC24"/>
    <mergeCell ref="AQ22:AT22"/>
    <mergeCell ref="AG21:AH21"/>
    <mergeCell ref="AI21:AL21"/>
    <mergeCell ref="AM21:AN21"/>
    <mergeCell ref="AO21:AP21"/>
    <mergeCell ref="AQ21:AT21"/>
    <mergeCell ref="AD23:AF23"/>
    <mergeCell ref="AD22:AF22"/>
    <mergeCell ref="AG22:AH22"/>
    <mergeCell ref="AI22:AL22"/>
    <mergeCell ref="AM22:AN22"/>
    <mergeCell ref="AO22:AP22"/>
    <mergeCell ref="AD21:AF21"/>
    <mergeCell ref="AO20:AP20"/>
    <mergeCell ref="F22:K22"/>
    <mergeCell ref="L22:N22"/>
    <mergeCell ref="O22:T22"/>
    <mergeCell ref="U22:X22"/>
    <mergeCell ref="AB22:AC22"/>
    <mergeCell ref="F21:K21"/>
    <mergeCell ref="L21:N21"/>
    <mergeCell ref="O21:T21"/>
    <mergeCell ref="U21:X21"/>
    <mergeCell ref="AB21:AC21"/>
    <mergeCell ref="AI18:AL18"/>
    <mergeCell ref="AM18:AN18"/>
    <mergeCell ref="AO18:AP18"/>
    <mergeCell ref="AD17:AF17"/>
    <mergeCell ref="AQ16:AT16"/>
    <mergeCell ref="L20:N20"/>
    <mergeCell ref="O20:T20"/>
    <mergeCell ref="U20:X20"/>
    <mergeCell ref="AB20:AC20"/>
    <mergeCell ref="L19:N19"/>
    <mergeCell ref="O19:T19"/>
    <mergeCell ref="U19:X19"/>
    <mergeCell ref="AB19:AC19"/>
    <mergeCell ref="AQ20:AT20"/>
    <mergeCell ref="AG19:AH19"/>
    <mergeCell ref="AI19:AL19"/>
    <mergeCell ref="AM19:AN19"/>
    <mergeCell ref="AO19:AP19"/>
    <mergeCell ref="AQ19:AT19"/>
    <mergeCell ref="AD19:AF19"/>
    <mergeCell ref="AD20:AF20"/>
    <mergeCell ref="AG20:AH20"/>
    <mergeCell ref="AI20:AL20"/>
    <mergeCell ref="AM20:AN20"/>
    <mergeCell ref="AQ15:AT15"/>
    <mergeCell ref="AD16:AF16"/>
    <mergeCell ref="AG16:AH16"/>
    <mergeCell ref="AI16:AL16"/>
    <mergeCell ref="AM16:AN16"/>
    <mergeCell ref="AO16:AP16"/>
    <mergeCell ref="AD15:AF15"/>
    <mergeCell ref="L18:N18"/>
    <mergeCell ref="O18:T18"/>
    <mergeCell ref="U18:X18"/>
    <mergeCell ref="AB18:AC18"/>
    <mergeCell ref="L17:N17"/>
    <mergeCell ref="O17:T17"/>
    <mergeCell ref="U17:X17"/>
    <mergeCell ref="AB17:AC17"/>
    <mergeCell ref="AB16:AC16"/>
    <mergeCell ref="AQ18:AT18"/>
    <mergeCell ref="AG17:AH17"/>
    <mergeCell ref="AI17:AL17"/>
    <mergeCell ref="AM17:AN17"/>
    <mergeCell ref="AO17:AP17"/>
    <mergeCell ref="AQ17:AT17"/>
    <mergeCell ref="AD18:AF18"/>
    <mergeCell ref="AG18:AH18"/>
    <mergeCell ref="AM14:AN14"/>
    <mergeCell ref="AO14:AP14"/>
    <mergeCell ref="AD13:AF13"/>
    <mergeCell ref="F15:K15"/>
    <mergeCell ref="L15:N15"/>
    <mergeCell ref="O15:T15"/>
    <mergeCell ref="U15:X15"/>
    <mergeCell ref="AB15:AC15"/>
    <mergeCell ref="AB14:AC14"/>
    <mergeCell ref="F13:K13"/>
    <mergeCell ref="L13:N13"/>
    <mergeCell ref="O13:T13"/>
    <mergeCell ref="U13:X13"/>
    <mergeCell ref="AB13:AC13"/>
    <mergeCell ref="AG15:AH15"/>
    <mergeCell ref="AI15:AL15"/>
    <mergeCell ref="AM15:AN15"/>
    <mergeCell ref="AO15:AP15"/>
    <mergeCell ref="AQ14:AT14"/>
    <mergeCell ref="AG13:AH13"/>
    <mergeCell ref="AI13:AL13"/>
    <mergeCell ref="AM13:AN13"/>
    <mergeCell ref="AO13:AP13"/>
    <mergeCell ref="AQ13:AT13"/>
    <mergeCell ref="Y10:AA10"/>
    <mergeCell ref="AB10:AC10"/>
    <mergeCell ref="AD10:AF10"/>
    <mergeCell ref="AG10:AH10"/>
    <mergeCell ref="AQ12:AT12"/>
    <mergeCell ref="AG11:AH11"/>
    <mergeCell ref="AI11:AL11"/>
    <mergeCell ref="AM11:AN11"/>
    <mergeCell ref="AO11:AP11"/>
    <mergeCell ref="AQ11:AT11"/>
    <mergeCell ref="AD12:AF12"/>
    <mergeCell ref="AG12:AH12"/>
    <mergeCell ref="AI12:AL12"/>
    <mergeCell ref="AM12:AN12"/>
    <mergeCell ref="AO12:AP12"/>
    <mergeCell ref="AD14:AF14"/>
    <mergeCell ref="AG14:AH14"/>
    <mergeCell ref="AI14:AL14"/>
    <mergeCell ref="AR3:AU3"/>
    <mergeCell ref="AG50:AH50"/>
    <mergeCell ref="AG45:AH45"/>
    <mergeCell ref="AG46:AH46"/>
    <mergeCell ref="AG47:AH47"/>
    <mergeCell ref="AG48:AH48"/>
    <mergeCell ref="C4:AU4"/>
    <mergeCell ref="F10:K10"/>
    <mergeCell ref="L10:N10"/>
    <mergeCell ref="AM10:AN10"/>
    <mergeCell ref="AO10:AP10"/>
    <mergeCell ref="AQ10:AT10"/>
    <mergeCell ref="F11:K11"/>
    <mergeCell ref="L11:N11"/>
    <mergeCell ref="O11:T11"/>
    <mergeCell ref="U11:X11"/>
    <mergeCell ref="AB11:AC11"/>
    <mergeCell ref="AD11:AF11"/>
    <mergeCell ref="O10:T10"/>
    <mergeCell ref="U12:X12"/>
    <mergeCell ref="AB12:AC12"/>
    <mergeCell ref="AI10:AL10"/>
    <mergeCell ref="U10:X10"/>
    <mergeCell ref="F39:AA39"/>
    <mergeCell ref="F38:AA38"/>
    <mergeCell ref="AF40:AH40"/>
    <mergeCell ref="F12:K12"/>
    <mergeCell ref="L12:N12"/>
    <mergeCell ref="O12:T12"/>
    <mergeCell ref="F37:AA37"/>
    <mergeCell ref="F35:AA35"/>
    <mergeCell ref="F36:AA36"/>
    <mergeCell ref="F16:K16"/>
    <mergeCell ref="L16:N16"/>
    <mergeCell ref="O16:T16"/>
    <mergeCell ref="U16:X16"/>
    <mergeCell ref="F20:K20"/>
    <mergeCell ref="F14:K14"/>
    <mergeCell ref="L14:N14"/>
    <mergeCell ref="O14:T14"/>
    <mergeCell ref="U14:X14"/>
    <mergeCell ref="F18:K18"/>
    <mergeCell ref="F17:K17"/>
    <mergeCell ref="F19:K19"/>
    <mergeCell ref="F24:K24"/>
    <mergeCell ref="L24:N24"/>
    <mergeCell ref="O24:T24"/>
    <mergeCell ref="U24:X24"/>
  </mergeCells>
  <conditionalFormatting sqref="AB11:AC30">
    <cfRule type="expression" dxfId="94" priority="24" stopIfTrue="1">
      <formula>OR(AND($Y11=3,$AB11&gt;3),AND($Y11=2,$AB11&gt;9),AND($Y11=4,$AB11&gt;12))</formula>
    </cfRule>
  </conditionalFormatting>
  <conditionalFormatting sqref="AG11:AH30">
    <cfRule type="expression" dxfId="93" priority="22" stopIfTrue="1">
      <formula>OR($U11="",$AB11="",$AD11="")</formula>
    </cfRule>
  </conditionalFormatting>
  <conditionalFormatting sqref="AI11:AL30">
    <cfRule type="expression" dxfId="92" priority="21" stopIfTrue="1">
      <formula>OR($U11="",$AB11="",$AD11="")</formula>
    </cfRule>
  </conditionalFormatting>
  <conditionalFormatting sqref="AM11:AN30">
    <cfRule type="expression" dxfId="91" priority="20" stopIfTrue="1">
      <formula>OR($U11="",$AB11="",$AD11="")</formula>
    </cfRule>
  </conditionalFormatting>
  <conditionalFormatting sqref="AO11:AP30">
    <cfRule type="expression" dxfId="90" priority="19" stopIfTrue="1">
      <formula>OR($U11="",$AB11="",$AD11="")</formula>
    </cfRule>
  </conditionalFormatting>
  <conditionalFormatting sqref="AQ11:AT30">
    <cfRule type="expression" dxfId="89" priority="18" stopIfTrue="1">
      <formula>OR($U11="",$AB11="",$AD11="")</formula>
    </cfRule>
  </conditionalFormatting>
  <conditionalFormatting sqref="F11:F30">
    <cfRule type="expression" dxfId="88" priority="16" stopIfTrue="1">
      <formula>F11=0</formula>
    </cfRule>
  </conditionalFormatting>
  <conditionalFormatting sqref="AG103:AJ107 F109:AJ113 F103:F107">
    <cfRule type="cellIs" dxfId="87" priority="15" stopIfTrue="1" operator="equal">
      <formula>0</formula>
    </cfRule>
  </conditionalFormatting>
  <conditionalFormatting sqref="AI46:AT50">
    <cfRule type="expression" dxfId="86" priority="11" stopIfTrue="1">
      <formula>$U46=""</formula>
    </cfRule>
  </conditionalFormatting>
  <conditionalFormatting sqref="AG46:AH50">
    <cfRule type="expression" dxfId="85" priority="10" stopIfTrue="1">
      <formula>$U46=""</formula>
    </cfRule>
  </conditionalFormatting>
  <conditionalFormatting sqref="AD11:AF30">
    <cfRule type="expression" dxfId="84" priority="8" stopIfTrue="1">
      <formula>$AD11&gt;100%</formula>
    </cfRule>
  </conditionalFormatting>
  <conditionalFormatting sqref="U6">
    <cfRule type="cellIs" dxfId="83" priority="7" stopIfTrue="1" operator="equal">
      <formula>0</formula>
    </cfRule>
  </conditionalFormatting>
  <conditionalFormatting sqref="V5:AT6">
    <cfRule type="cellIs" dxfId="82" priority="5" stopIfTrue="1" operator="lessThanOrEqual">
      <formula>0</formula>
    </cfRule>
  </conditionalFormatting>
  <conditionalFormatting sqref="R8:AT9">
    <cfRule type="expression" dxfId="81" priority="2">
      <formula>SUM($AA$11:$AA$30)&gt;0</formula>
    </cfRule>
  </conditionalFormatting>
  <conditionalFormatting sqref="U11:X30">
    <cfRule type="expression" dxfId="80" priority="1">
      <formula>$AA11&lt;&gt;""</formula>
    </cfRule>
  </conditionalFormatting>
  <conditionalFormatting sqref="AO36:AO40 AQ36:AQ40 AF36:AF40 AI36:AI40 AM36:AM40">
    <cfRule type="expression" dxfId="79" priority="33" stopIfTrue="1">
      <formula>$AB36=""</formula>
    </cfRule>
  </conditionalFormatting>
  <dataValidations count="6">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4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4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400-000002000000}">
      <formula1>0</formula1>
      <formula2>5</formula2>
    </dataValidation>
    <dataValidation type="whole" operator="greaterThanOrEqual" allowBlank="1" showErrorMessage="1" errorTitle="Invalid Number Input" error="You must enter a whole number into this cell with a value of zero or higher. Click RETRY to change your entry, or CANCEL to undo your changes." sqref="AB35:AD35" xr:uid="{00000000-0002-0000-0400-000003000000}">
      <formula1>0</formula1>
    </dataValidation>
    <dataValidation type="whole" allowBlank="1" showErrorMessage="1" errorTitle="Data Entry Prohibited" error="Do not enter data direclty into this cell.  The value of this cell is controlled by the &quot;Period&quot; drop-down." sqref="Y11:Y30" xr:uid="{00000000-0002-0000-0400-000004000000}">
      <formula1>0</formula1>
      <formula2>4</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56B29551-D640-4217-BF4D-B6C582B94B97}">
      <formula1>0.25</formula1>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46:E50 E56:E65 E69:E76 E78:E85 E90:E99 E103:E107 E109:E113 E36:E40 E117:E129" numberStoredAsText="1"/>
    <ignoredError sqref="F11:K30" formulaRange="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1" r:id="rId4" name="Drop Down 3">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7210" r:id="rId5" name="Drop Down 4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7211" r:id="rId6" name="Drop Down 4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7212" r:id="rId7" name="Drop Down 4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7213" r:id="rId8" name="Drop Down 4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7214" r:id="rId9" name="Drop Down 4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7215" r:id="rId10" name="Drop Down 4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7216" r:id="rId11" name="Drop Down 4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7217" r:id="rId12" name="Drop Down 4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7218" r:id="rId13" name="Drop Down 5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7219" r:id="rId14" name="Drop Down 5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7220" r:id="rId15" name="Drop Down 5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7221" r:id="rId16" name="Drop Down 5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7222" r:id="rId17" name="Drop Down 5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7223" r:id="rId18" name="Drop Down 5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7224" r:id="rId19" name="Drop Down 5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7225" r:id="rId20" name="Drop Down 5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7226" r:id="rId21" name="Drop Down 5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7227" r:id="rId22" name="Drop Down 5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7228" r:id="rId23" name="Drop Down 6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7290" r:id="rId24" name="Drop Down 122">
              <controlPr defaultSize="0" autoLine="0" autoPict="0">
                <anchor moveWithCells="1" sizeWithCells="1">
                  <from>
                    <xdr:col>17</xdr:col>
                    <xdr:colOff>190500</xdr:colOff>
                    <xdr:row>36</xdr:row>
                    <xdr:rowOff>9525</xdr:rowOff>
                  </from>
                  <to>
                    <xdr:col>27</xdr:col>
                    <xdr:colOff>0</xdr:colOff>
                    <xdr:row>36</xdr:row>
                    <xdr:rowOff>238125</xdr:rowOff>
                  </to>
                </anchor>
              </controlPr>
            </control>
          </mc:Choice>
        </mc:AlternateContent>
        <mc:AlternateContent xmlns:mc="http://schemas.openxmlformats.org/markup-compatibility/2006">
          <mc:Choice Requires="x14">
            <control shapeId="7291" r:id="rId25" name="Drop Down 123">
              <controlPr defaultSize="0" autoLine="0" autoPict="0">
                <anchor moveWithCells="1" sizeWithCells="1">
                  <from>
                    <xdr:col>5</xdr:col>
                    <xdr:colOff>9525</xdr:colOff>
                    <xdr:row>36</xdr:row>
                    <xdr:rowOff>9525</xdr:rowOff>
                  </from>
                  <to>
                    <xdr:col>12</xdr:col>
                    <xdr:colOff>9525</xdr:colOff>
                    <xdr:row>36</xdr:row>
                    <xdr:rowOff>238125</xdr:rowOff>
                  </to>
                </anchor>
              </controlPr>
            </control>
          </mc:Choice>
        </mc:AlternateContent>
        <mc:AlternateContent xmlns:mc="http://schemas.openxmlformats.org/markup-compatibility/2006">
          <mc:Choice Requires="x14">
            <control shapeId="7292" r:id="rId26" name="Drop Down 124">
              <controlPr defaultSize="0" autoLine="0" autoPict="0">
                <anchor moveWithCells="1" sizeWithCells="1">
                  <from>
                    <xdr:col>12</xdr:col>
                    <xdr:colOff>38100</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7293" r:id="rId27" name="Drop Down 125">
              <controlPr defaultSize="0" autoLine="0" autoPict="0">
                <anchor moveWithCells="1" sizeWithCells="1">
                  <from>
                    <xdr:col>17</xdr:col>
                    <xdr:colOff>190500</xdr:colOff>
                    <xdr:row>37</xdr:row>
                    <xdr:rowOff>9525</xdr:rowOff>
                  </from>
                  <to>
                    <xdr:col>27</xdr:col>
                    <xdr:colOff>0</xdr:colOff>
                    <xdr:row>37</xdr:row>
                    <xdr:rowOff>238125</xdr:rowOff>
                  </to>
                </anchor>
              </controlPr>
            </control>
          </mc:Choice>
        </mc:AlternateContent>
        <mc:AlternateContent xmlns:mc="http://schemas.openxmlformats.org/markup-compatibility/2006">
          <mc:Choice Requires="x14">
            <control shapeId="7294" r:id="rId28" name="Drop Down 126">
              <controlPr defaultSize="0" autoLine="0" autoPict="0">
                <anchor moveWithCells="1" sizeWithCells="1">
                  <from>
                    <xdr:col>5</xdr:col>
                    <xdr:colOff>9525</xdr:colOff>
                    <xdr:row>37</xdr:row>
                    <xdr:rowOff>9525</xdr:rowOff>
                  </from>
                  <to>
                    <xdr:col>12</xdr:col>
                    <xdr:colOff>9525</xdr:colOff>
                    <xdr:row>37</xdr:row>
                    <xdr:rowOff>238125</xdr:rowOff>
                  </to>
                </anchor>
              </controlPr>
            </control>
          </mc:Choice>
        </mc:AlternateContent>
        <mc:AlternateContent xmlns:mc="http://schemas.openxmlformats.org/markup-compatibility/2006">
          <mc:Choice Requires="x14">
            <control shapeId="7295" r:id="rId29" name="Drop Down 127">
              <controlPr defaultSize="0" autoLine="0" autoPict="0">
                <anchor moveWithCells="1" sizeWithCells="1">
                  <from>
                    <xdr:col>12</xdr:col>
                    <xdr:colOff>38100</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7296" r:id="rId30" name="Drop Down 128">
              <controlPr defaultSize="0" autoLine="0" autoPict="0">
                <anchor moveWithCells="1" sizeWithCells="1">
                  <from>
                    <xdr:col>17</xdr:col>
                    <xdr:colOff>190500</xdr:colOff>
                    <xdr:row>38</xdr:row>
                    <xdr:rowOff>9525</xdr:rowOff>
                  </from>
                  <to>
                    <xdr:col>27</xdr:col>
                    <xdr:colOff>0</xdr:colOff>
                    <xdr:row>38</xdr:row>
                    <xdr:rowOff>238125</xdr:rowOff>
                  </to>
                </anchor>
              </controlPr>
            </control>
          </mc:Choice>
        </mc:AlternateContent>
        <mc:AlternateContent xmlns:mc="http://schemas.openxmlformats.org/markup-compatibility/2006">
          <mc:Choice Requires="x14">
            <control shapeId="7297" r:id="rId31" name="Drop Down 129">
              <controlPr defaultSize="0" autoLine="0" autoPict="0">
                <anchor moveWithCells="1" sizeWithCells="1">
                  <from>
                    <xdr:col>5</xdr:col>
                    <xdr:colOff>9525</xdr:colOff>
                    <xdr:row>38</xdr:row>
                    <xdr:rowOff>9525</xdr:rowOff>
                  </from>
                  <to>
                    <xdr:col>12</xdr:col>
                    <xdr:colOff>9525</xdr:colOff>
                    <xdr:row>38</xdr:row>
                    <xdr:rowOff>238125</xdr:rowOff>
                  </to>
                </anchor>
              </controlPr>
            </control>
          </mc:Choice>
        </mc:AlternateContent>
        <mc:AlternateContent xmlns:mc="http://schemas.openxmlformats.org/markup-compatibility/2006">
          <mc:Choice Requires="x14">
            <control shapeId="7298" r:id="rId32" name="Drop Down 130">
              <controlPr defaultSize="0" autoLine="0" autoPict="0">
                <anchor moveWithCells="1" sizeWithCells="1">
                  <from>
                    <xdr:col>12</xdr:col>
                    <xdr:colOff>38100</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7299" r:id="rId33" name="Drop Down 131">
              <controlPr defaultSize="0" autoLine="0" autoPict="0">
                <anchor moveWithCells="1" sizeWithCells="1">
                  <from>
                    <xdr:col>17</xdr:col>
                    <xdr:colOff>190500</xdr:colOff>
                    <xdr:row>39</xdr:row>
                    <xdr:rowOff>9525</xdr:rowOff>
                  </from>
                  <to>
                    <xdr:col>27</xdr:col>
                    <xdr:colOff>0</xdr:colOff>
                    <xdr:row>39</xdr:row>
                    <xdr:rowOff>238125</xdr:rowOff>
                  </to>
                </anchor>
              </controlPr>
            </control>
          </mc:Choice>
        </mc:AlternateContent>
        <mc:AlternateContent xmlns:mc="http://schemas.openxmlformats.org/markup-compatibility/2006">
          <mc:Choice Requires="x14">
            <control shapeId="7300" r:id="rId34" name="Drop Down 132">
              <controlPr defaultSize="0" autoLine="0" autoPict="0">
                <anchor moveWithCells="1" sizeWithCells="1">
                  <from>
                    <xdr:col>5</xdr:col>
                    <xdr:colOff>9525</xdr:colOff>
                    <xdr:row>39</xdr:row>
                    <xdr:rowOff>9525</xdr:rowOff>
                  </from>
                  <to>
                    <xdr:col>12</xdr:col>
                    <xdr:colOff>9525</xdr:colOff>
                    <xdr:row>39</xdr:row>
                    <xdr:rowOff>238125</xdr:rowOff>
                  </to>
                </anchor>
              </controlPr>
            </control>
          </mc:Choice>
        </mc:AlternateContent>
        <mc:AlternateContent xmlns:mc="http://schemas.openxmlformats.org/markup-compatibility/2006">
          <mc:Choice Requires="x14">
            <control shapeId="7301" r:id="rId35" name="Drop Down 133">
              <controlPr defaultSize="0" autoLine="0" autoPict="0">
                <anchor moveWithCells="1" sizeWithCells="1">
                  <from>
                    <xdr:col>12</xdr:col>
                    <xdr:colOff>38100</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7287" r:id="rId36" name="Drop Down 119">
              <controlPr defaultSize="0" autoLine="0" autoPict="0">
                <anchor moveWithCells="1" sizeWithCells="1">
                  <from>
                    <xdr:col>17</xdr:col>
                    <xdr:colOff>190500</xdr:colOff>
                    <xdr:row>35</xdr:row>
                    <xdr:rowOff>9525</xdr:rowOff>
                  </from>
                  <to>
                    <xdr:col>26</xdr:col>
                    <xdr:colOff>247650</xdr:colOff>
                    <xdr:row>35</xdr:row>
                    <xdr:rowOff>238125</xdr:rowOff>
                  </to>
                </anchor>
              </controlPr>
            </control>
          </mc:Choice>
        </mc:AlternateContent>
        <mc:AlternateContent xmlns:mc="http://schemas.openxmlformats.org/markup-compatibility/2006">
          <mc:Choice Requires="x14">
            <control shapeId="7288" r:id="rId37" name="Drop Down 120">
              <controlPr defaultSize="0" autoLine="0" autoPict="0">
                <anchor moveWithCells="1" sizeWithCells="1">
                  <from>
                    <xdr:col>5</xdr:col>
                    <xdr:colOff>9525</xdr:colOff>
                    <xdr:row>35</xdr:row>
                    <xdr:rowOff>9525</xdr:rowOff>
                  </from>
                  <to>
                    <xdr:col>12</xdr:col>
                    <xdr:colOff>9525</xdr:colOff>
                    <xdr:row>35</xdr:row>
                    <xdr:rowOff>238125</xdr:rowOff>
                  </to>
                </anchor>
              </controlPr>
            </control>
          </mc:Choice>
        </mc:AlternateContent>
        <mc:AlternateContent xmlns:mc="http://schemas.openxmlformats.org/markup-compatibility/2006">
          <mc:Choice Requires="x14">
            <control shapeId="7289" r:id="rId38" name="Drop Down 121">
              <controlPr defaultSize="0" autoLine="0" autoPict="0">
                <anchor moveWithCells="1" sizeWithCells="1">
                  <from>
                    <xdr:col>12</xdr:col>
                    <xdr:colOff>38100</xdr:colOff>
                    <xdr:row>35</xdr:row>
                    <xdr:rowOff>9525</xdr:rowOff>
                  </from>
                  <to>
                    <xdr:col>17</xdr:col>
                    <xdr:colOff>161925</xdr:colOff>
                    <xdr:row>35</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1"/>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227</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IF(Data_ProjectStartDate&gt;=Var_EarliestProjectStartDate,TEXT(DATE(YEAR(Data_ProjectStartDate)+3,MONTH(Data_ProjectStartDate),DAY(Data_ProjectStartDate))," mmmm d, yyyy") &amp; " - " &amp; TEXT(DATE(YEAR(Data_ProjectStartDate)+4,MONTH(Data_ProjectStartDate),DAY(Data_ProjectStartDate)-1),"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613" t="str">
        <f>CONCATENATE("Please note: Post-docs, as exempt employees, must be paid $",Salary_MinimumFLSAPostDoc_Annual_Y4," annually (or $",Salary_MinimumFLSAPostDoc_Academic_Y4,"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743">
        <f>'Budget Period 1'!F11:K11</f>
        <v>0</v>
      </c>
      <c r="G11" s="744"/>
      <c r="H11" s="744"/>
      <c r="I11" s="744"/>
      <c r="J11" s="744"/>
      <c r="K11" s="745"/>
      <c r="L11" s="740" t="str">
        <f>CHOOSE('Budget Period 1'!L11,"",'Drop-Down_Options'!$B$25,'Drop-Down_Options'!$B$26,'Drop-Down_Options'!$B$27,'Drop-Down_Options'!$B$28)</f>
        <v/>
      </c>
      <c r="M11" s="741"/>
      <c r="N11" s="742"/>
      <c r="O11" s="740" t="str">
        <f>CHOOSE('Budget Period 1'!O11,"",'Drop-Down_Options'!$B$35,'Drop-Down_Options'!$B$36,"Classified","LTE")</f>
        <v/>
      </c>
      <c r="P11" s="741"/>
      <c r="Q11" s="741"/>
      <c r="R11" s="741"/>
      <c r="S11" s="741"/>
      <c r="T11" s="742"/>
      <c r="U11" s="737">
        <f>'Budget Period 3'!U11*(1+IF(L11="PI",Data_SalaryInflationRatePI,Data_SalaryInflationRate))</f>
        <v>0</v>
      </c>
      <c r="V11" s="738"/>
      <c r="W11" s="738"/>
      <c r="X11" s="739"/>
      <c r="Y11" s="113">
        <v>1</v>
      </c>
      <c r="Z11" s="116"/>
      <c r="AA11" s="117" t="str">
        <f t="shared" ref="AA11:AA30" si="0">IF(AND(L11="Post Doc",OR(AND(O11="Academic",U11&lt;Salary_MinimumFLSAPostDoc_Academic_Y4),AND(O11="Annual",U11&lt;Salary_MinimumFLSAPostDoc_Annual_Y4))),1,"")</f>
        <v/>
      </c>
      <c r="AB11" s="627"/>
      <c r="AC11" s="628"/>
      <c r="AD11" s="623"/>
      <c r="AE11" s="624"/>
      <c r="AF11" s="624"/>
      <c r="AG11" s="621">
        <f t="shared" ref="AG11:AG30" si="1">AB11*AD11</f>
        <v>0</v>
      </c>
      <c r="AH11" s="622"/>
      <c r="AI11" s="602">
        <f>(IF(OR('Budget Period 1'!L11&lt;2,'Budget Period 1'!O11&lt;2),0,IF(OR('Budget Period 1'!O11=4,'Budget Period 1'!O11=5),U11*2080/12*AB11*AD11,(U11/(CHOOSE('Budget Period 1'!O11,0,9,12,0,0))*AB11*AD11))))</f>
        <v>0</v>
      </c>
      <c r="AJ11" s="603"/>
      <c r="AK11" s="603"/>
      <c r="AL11" s="604"/>
      <c r="AM11" s="787">
        <f>IF(OR('Budget Period 1'!L11&lt;2,'Budget Period 1'!O11&lt;2),0,IF('Budget Period 1'!L11=4,FringeRate_Y4_PostDoc,CHOOSE('Budget Period 1'!O11,0,FringeRate_Y4_Faculty,FringeRate_Y4_Faculty,FringeRate_Y4_Classified,FringeRate_Y4_LTE)))</f>
        <v>0</v>
      </c>
      <c r="AN11" s="788"/>
      <c r="AO11" s="789">
        <f>AI11*AM11</f>
        <v>0</v>
      </c>
      <c r="AP11" s="790"/>
      <c r="AQ11" s="602">
        <f>AI11+AO11</f>
        <v>0</v>
      </c>
      <c r="AR11" s="603"/>
      <c r="AS11" s="603"/>
      <c r="AT11" s="611"/>
      <c r="AU11" s="137"/>
      <c r="AV11" s="10"/>
    </row>
    <row r="12" spans="2:48" ht="18" customHeight="1" thickBot="1" x14ac:dyDescent="0.25">
      <c r="B12" s="10"/>
      <c r="C12" s="137"/>
      <c r="D12" s="137"/>
      <c r="E12" s="149" t="s">
        <v>92</v>
      </c>
      <c r="F12" s="722">
        <f>'Budget Period 1'!F12:K12</f>
        <v>0</v>
      </c>
      <c r="G12" s="723"/>
      <c r="H12" s="723"/>
      <c r="I12" s="723"/>
      <c r="J12" s="723"/>
      <c r="K12" s="724"/>
      <c r="L12" s="725" t="str">
        <f>CHOOSE('Budget Period 1'!L12,"",'Drop-Down_Options'!$B$25,'Drop-Down_Options'!$B$26,'Drop-Down_Options'!$B$27,'Drop-Down_Options'!$B$28)</f>
        <v/>
      </c>
      <c r="M12" s="726"/>
      <c r="N12" s="727"/>
      <c r="O12" s="725" t="str">
        <f>CHOOSE('Budget Period 1'!O12,"",'Drop-Down_Options'!$B$35,'Drop-Down_Options'!$B$36,"Classified","LTE")</f>
        <v/>
      </c>
      <c r="P12" s="726"/>
      <c r="Q12" s="726"/>
      <c r="R12" s="726"/>
      <c r="S12" s="726"/>
      <c r="T12" s="727"/>
      <c r="U12" s="719">
        <f>'Budget Period 3'!U12*(1+IF(L12="PI",Data_SalaryInflationRatePI,Data_SalaryInflationRate))</f>
        <v>0</v>
      </c>
      <c r="V12" s="720"/>
      <c r="W12" s="720"/>
      <c r="X12" s="721"/>
      <c r="Y12" s="114">
        <v>1</v>
      </c>
      <c r="Z12" s="118"/>
      <c r="AA12" s="117" t="str">
        <f t="shared" si="0"/>
        <v/>
      </c>
      <c r="AB12" s="434"/>
      <c r="AC12" s="436"/>
      <c r="AD12" s="625"/>
      <c r="AE12" s="626"/>
      <c r="AF12" s="626"/>
      <c r="AG12" s="535">
        <f t="shared" si="1"/>
        <v>0</v>
      </c>
      <c r="AH12" s="536"/>
      <c r="AI12" s="530">
        <f>(IF(OR('Budget Period 1'!L12&lt;2,'Budget Period 1'!O12&lt;2),0,IF(OR('Budget Period 1'!O12=4,'Budget Period 1'!O12=5),U12*2080/12*AB12*AD12,(U12/(CHOOSE('Budget Period 1'!O12,0,9,12,0,0))*AB12*AD12))))</f>
        <v>0</v>
      </c>
      <c r="AJ12" s="531"/>
      <c r="AK12" s="531"/>
      <c r="AL12" s="532"/>
      <c r="AM12" s="783">
        <f>IF(OR('Budget Period 1'!L12&lt;2,'Budget Period 1'!O12&lt;2),0,IF('Budget Period 1'!L12=4,FringeRate_Y4_PostDoc,CHOOSE('Budget Period 1'!O12,0,FringeRate_Y4_Faculty,FringeRate_Y4_Faculty,FringeRate_Y4_Classified,FringeRate_Y4_LTE)))</f>
        <v>0</v>
      </c>
      <c r="AN12" s="784"/>
      <c r="AO12" s="785">
        <f t="shared" ref="AO12:AO30" si="2">AI12*AM12</f>
        <v>0</v>
      </c>
      <c r="AP12" s="786"/>
      <c r="AQ12" s="530">
        <f t="shared" ref="AQ12:AQ30" si="3">AI12+AO12</f>
        <v>0</v>
      </c>
      <c r="AR12" s="531"/>
      <c r="AS12" s="531"/>
      <c r="AT12" s="612"/>
      <c r="AU12" s="137"/>
      <c r="AV12" s="10"/>
    </row>
    <row r="13" spans="2:48" ht="18" customHeight="1" thickBot="1" x14ac:dyDescent="0.25">
      <c r="B13" s="10"/>
      <c r="C13" s="137"/>
      <c r="D13" s="137"/>
      <c r="E13" s="149" t="s">
        <v>93</v>
      </c>
      <c r="F13" s="722">
        <f>'Budget Period 1'!F13:K13</f>
        <v>0</v>
      </c>
      <c r="G13" s="723"/>
      <c r="H13" s="723"/>
      <c r="I13" s="723"/>
      <c r="J13" s="723"/>
      <c r="K13" s="724"/>
      <c r="L13" s="725" t="str">
        <f>CHOOSE('Budget Period 1'!L13,"",'Drop-Down_Options'!$B$25,'Drop-Down_Options'!$B$26,'Drop-Down_Options'!$B$27,'Drop-Down_Options'!$B$28)</f>
        <v/>
      </c>
      <c r="M13" s="726"/>
      <c r="N13" s="727"/>
      <c r="O13" s="725" t="str">
        <f>CHOOSE('Budget Period 1'!O13,"",'Drop-Down_Options'!$B$35,'Drop-Down_Options'!$B$36,"Classified","LTE")</f>
        <v/>
      </c>
      <c r="P13" s="791"/>
      <c r="Q13" s="791"/>
      <c r="R13" s="791"/>
      <c r="S13" s="791"/>
      <c r="T13" s="792"/>
      <c r="U13" s="719">
        <f>'Budget Period 3'!U13*(1+IF(L13="PI",Data_SalaryInflationRatePI,Data_SalaryInflationRate))</f>
        <v>0</v>
      </c>
      <c r="V13" s="720"/>
      <c r="W13" s="720"/>
      <c r="X13" s="721"/>
      <c r="Y13" s="114">
        <v>1</v>
      </c>
      <c r="Z13" s="118"/>
      <c r="AA13" s="117" t="str">
        <f t="shared" si="0"/>
        <v/>
      </c>
      <c r="AB13" s="434"/>
      <c r="AC13" s="436"/>
      <c r="AD13" s="625"/>
      <c r="AE13" s="626"/>
      <c r="AF13" s="626"/>
      <c r="AG13" s="535">
        <f t="shared" si="1"/>
        <v>0</v>
      </c>
      <c r="AH13" s="536"/>
      <c r="AI13" s="530">
        <f>(IF(OR('Budget Period 1'!L13&lt;2,'Budget Period 1'!O13&lt;2),0,IF(OR('Budget Period 1'!O13=4,'Budget Period 1'!O13=5),U13*2080/12*AB13*AD13,(U13/(CHOOSE('Budget Period 1'!O13,0,9,12,0,0))*AB13*AD13))))</f>
        <v>0</v>
      </c>
      <c r="AJ13" s="531"/>
      <c r="AK13" s="531"/>
      <c r="AL13" s="532"/>
      <c r="AM13" s="783">
        <f>IF(OR('Budget Period 1'!L13&lt;2,'Budget Period 1'!O13&lt;2),0,IF('Budget Period 1'!L13=4,FringeRate_Y4_PostDoc,CHOOSE('Budget Period 1'!O13,0,FringeRate_Y4_Faculty,FringeRate_Y4_Faculty,FringeRate_Y4_Classified,FringeRate_Y4_LTE)))</f>
        <v>0</v>
      </c>
      <c r="AN13" s="784"/>
      <c r="AO13" s="785">
        <f t="shared" si="2"/>
        <v>0</v>
      </c>
      <c r="AP13" s="786"/>
      <c r="AQ13" s="530">
        <f t="shared" si="3"/>
        <v>0</v>
      </c>
      <c r="AR13" s="531"/>
      <c r="AS13" s="531"/>
      <c r="AT13" s="612"/>
      <c r="AU13" s="137"/>
      <c r="AV13" s="10"/>
    </row>
    <row r="14" spans="2:48" ht="18" customHeight="1" thickBot="1" x14ac:dyDescent="0.25">
      <c r="B14" s="10"/>
      <c r="C14" s="137"/>
      <c r="D14" s="137"/>
      <c r="E14" s="149" t="s">
        <v>94</v>
      </c>
      <c r="F14" s="722">
        <f>'Budget Period 1'!F14:K14</f>
        <v>0</v>
      </c>
      <c r="G14" s="723"/>
      <c r="H14" s="723"/>
      <c r="I14" s="723"/>
      <c r="J14" s="723"/>
      <c r="K14" s="724"/>
      <c r="L14" s="725" t="str">
        <f>CHOOSE('Budget Period 1'!L14,"",'Drop-Down_Options'!$B$25,'Drop-Down_Options'!$B$26,'Drop-Down_Options'!$B$27,'Drop-Down_Options'!$B$28)</f>
        <v/>
      </c>
      <c r="M14" s="726"/>
      <c r="N14" s="727"/>
      <c r="O14" s="725" t="str">
        <f>CHOOSE('Budget Period 1'!O14,"",'Drop-Down_Options'!$B$35,'Drop-Down_Options'!$B$36,"Classified","LTE")</f>
        <v/>
      </c>
      <c r="P14" s="726"/>
      <c r="Q14" s="726"/>
      <c r="R14" s="726"/>
      <c r="S14" s="726"/>
      <c r="T14" s="727"/>
      <c r="U14" s="719">
        <f>'Budget Period 3'!U14*(1+IF(L14="PI",Data_SalaryInflationRatePI,Data_SalaryInflationRate))</f>
        <v>0</v>
      </c>
      <c r="V14" s="720"/>
      <c r="W14" s="720"/>
      <c r="X14" s="721"/>
      <c r="Y14" s="114">
        <v>1</v>
      </c>
      <c r="Z14" s="118"/>
      <c r="AA14" s="117" t="str">
        <f t="shared" si="0"/>
        <v/>
      </c>
      <c r="AB14" s="434"/>
      <c r="AC14" s="436"/>
      <c r="AD14" s="625"/>
      <c r="AE14" s="626"/>
      <c r="AF14" s="626"/>
      <c r="AG14" s="535">
        <f t="shared" si="1"/>
        <v>0</v>
      </c>
      <c r="AH14" s="536"/>
      <c r="AI14" s="530">
        <f>(IF(OR('Budget Period 1'!L14&lt;2,'Budget Period 1'!O14&lt;2),0,IF(OR('Budget Period 1'!O14=4,'Budget Period 1'!O14=5),U14*2080/12*AB14*AD14,(U14/(CHOOSE('Budget Period 1'!O14,0,9,12,0,0))*AB14*AD14))))</f>
        <v>0</v>
      </c>
      <c r="AJ14" s="531"/>
      <c r="AK14" s="531"/>
      <c r="AL14" s="532"/>
      <c r="AM14" s="783">
        <f>IF(OR('Budget Period 1'!L14&lt;2,'Budget Period 1'!O14&lt;2),0,IF('Budget Period 1'!L14=4,FringeRate_Y4_PostDoc,CHOOSE('Budget Period 1'!O14,0,FringeRate_Y4_Faculty,FringeRate_Y4_Faculty,FringeRate_Y4_Classified,FringeRate_Y4_LTE)))</f>
        <v>0</v>
      </c>
      <c r="AN14" s="784"/>
      <c r="AO14" s="785">
        <f t="shared" si="2"/>
        <v>0</v>
      </c>
      <c r="AP14" s="786"/>
      <c r="AQ14" s="530">
        <f t="shared" si="3"/>
        <v>0</v>
      </c>
      <c r="AR14" s="531"/>
      <c r="AS14" s="531"/>
      <c r="AT14" s="612"/>
      <c r="AU14" s="137"/>
      <c r="AV14" s="10"/>
    </row>
    <row r="15" spans="2:48" ht="18" customHeight="1" thickBot="1" x14ac:dyDescent="0.25">
      <c r="B15" s="10"/>
      <c r="C15" s="137"/>
      <c r="D15" s="137"/>
      <c r="E15" s="149" t="s">
        <v>95</v>
      </c>
      <c r="F15" s="722">
        <f>'Budget Period 1'!F15:K15</f>
        <v>0</v>
      </c>
      <c r="G15" s="723"/>
      <c r="H15" s="723"/>
      <c r="I15" s="723"/>
      <c r="J15" s="723"/>
      <c r="K15" s="724"/>
      <c r="L15" s="725" t="str">
        <f>CHOOSE('Budget Period 1'!L15,"",'Drop-Down_Options'!$B$25,'Drop-Down_Options'!$B$26,'Drop-Down_Options'!$B$27,'Drop-Down_Options'!$B$28)</f>
        <v/>
      </c>
      <c r="M15" s="726"/>
      <c r="N15" s="727"/>
      <c r="O15" s="725" t="str">
        <f>CHOOSE('Budget Period 1'!O15,"",'Drop-Down_Options'!$B$35,'Drop-Down_Options'!$B$36,"Classified","LTE")</f>
        <v/>
      </c>
      <c r="P15" s="726"/>
      <c r="Q15" s="726"/>
      <c r="R15" s="726"/>
      <c r="S15" s="726"/>
      <c r="T15" s="727"/>
      <c r="U15" s="719">
        <f>'Budget Period 3'!U15*(1+IF(L15="PI",Data_SalaryInflationRatePI,Data_SalaryInflationRate))</f>
        <v>0</v>
      </c>
      <c r="V15" s="720"/>
      <c r="W15" s="720"/>
      <c r="X15" s="721"/>
      <c r="Y15" s="114">
        <v>1</v>
      </c>
      <c r="Z15" s="118"/>
      <c r="AA15" s="117" t="str">
        <f t="shared" si="0"/>
        <v/>
      </c>
      <c r="AB15" s="434"/>
      <c r="AC15" s="436"/>
      <c r="AD15" s="625"/>
      <c r="AE15" s="626"/>
      <c r="AF15" s="626"/>
      <c r="AG15" s="535">
        <f t="shared" si="1"/>
        <v>0</v>
      </c>
      <c r="AH15" s="536"/>
      <c r="AI15" s="530">
        <f>(IF(OR('Budget Period 1'!L15&lt;2,'Budget Period 1'!O15&lt;2),0,IF(OR('Budget Period 1'!O15=4,'Budget Period 1'!O15=5),U15*2080/12*AB15*AD15,(U15/(CHOOSE('Budget Period 1'!O15,0,9,12,0,0))*AB15*AD15))))</f>
        <v>0</v>
      </c>
      <c r="AJ15" s="531"/>
      <c r="AK15" s="531"/>
      <c r="AL15" s="532"/>
      <c r="AM15" s="783">
        <f>IF(OR('Budget Period 1'!L15&lt;2,'Budget Period 1'!O15&lt;2),0,IF('Budget Period 1'!L15=4,FringeRate_Y4_PostDoc,CHOOSE('Budget Period 1'!O15,0,FringeRate_Y4_Faculty,FringeRate_Y4_Faculty,FringeRate_Y4_Classified,FringeRate_Y4_LTE)))</f>
        <v>0</v>
      </c>
      <c r="AN15" s="784"/>
      <c r="AO15" s="785">
        <f t="shared" si="2"/>
        <v>0</v>
      </c>
      <c r="AP15" s="786"/>
      <c r="AQ15" s="530">
        <f t="shared" si="3"/>
        <v>0</v>
      </c>
      <c r="AR15" s="531"/>
      <c r="AS15" s="531"/>
      <c r="AT15" s="612"/>
      <c r="AU15" s="137"/>
      <c r="AV15" s="10"/>
    </row>
    <row r="16" spans="2:48" ht="18" customHeight="1" thickBot="1" x14ac:dyDescent="0.25">
      <c r="B16" s="10"/>
      <c r="C16" s="137"/>
      <c r="D16" s="137"/>
      <c r="E16" s="149" t="s">
        <v>96</v>
      </c>
      <c r="F16" s="722">
        <f>'Budget Period 1'!F16:K16</f>
        <v>0</v>
      </c>
      <c r="G16" s="723"/>
      <c r="H16" s="723"/>
      <c r="I16" s="723"/>
      <c r="J16" s="723"/>
      <c r="K16" s="724"/>
      <c r="L16" s="725" t="str">
        <f>CHOOSE('Budget Period 1'!L16,"",'Drop-Down_Options'!$B$25,'Drop-Down_Options'!$B$26,'Drop-Down_Options'!$B$27,'Drop-Down_Options'!$B$28)</f>
        <v/>
      </c>
      <c r="M16" s="726"/>
      <c r="N16" s="727"/>
      <c r="O16" s="725" t="str">
        <f>CHOOSE('Budget Period 1'!O16,"",'Drop-Down_Options'!$B$35,'Drop-Down_Options'!$B$36,"Classified","LTE")</f>
        <v/>
      </c>
      <c r="P16" s="726"/>
      <c r="Q16" s="726"/>
      <c r="R16" s="726"/>
      <c r="S16" s="726"/>
      <c r="T16" s="727"/>
      <c r="U16" s="719">
        <f>'Budget Period 3'!U16*(1+IF(L16="PI",Data_SalaryInflationRatePI,Data_SalaryInflationRate))</f>
        <v>0</v>
      </c>
      <c r="V16" s="720"/>
      <c r="W16" s="720"/>
      <c r="X16" s="721"/>
      <c r="Y16" s="114">
        <v>1</v>
      </c>
      <c r="Z16" s="118"/>
      <c r="AA16" s="117" t="str">
        <f t="shared" si="0"/>
        <v/>
      </c>
      <c r="AB16" s="434"/>
      <c r="AC16" s="436"/>
      <c r="AD16" s="625"/>
      <c r="AE16" s="626"/>
      <c r="AF16" s="626"/>
      <c r="AG16" s="535">
        <f t="shared" si="1"/>
        <v>0</v>
      </c>
      <c r="AH16" s="536"/>
      <c r="AI16" s="530">
        <f>(IF(OR('Budget Period 1'!L16&lt;2,'Budget Period 1'!O16&lt;2),0,IF(OR('Budget Period 1'!O16=4,'Budget Period 1'!O16=5),U16*2080/12*AB16*AD16,(U16/(CHOOSE('Budget Period 1'!O16,0,9,12,0,0))*AB16*AD16))))</f>
        <v>0</v>
      </c>
      <c r="AJ16" s="531"/>
      <c r="AK16" s="531"/>
      <c r="AL16" s="532"/>
      <c r="AM16" s="783">
        <f>IF(OR('Budget Period 1'!L16&lt;2,'Budget Period 1'!O16&lt;2),0,IF('Budget Period 1'!L16=4,FringeRate_Y4_PostDoc,CHOOSE('Budget Period 1'!O16,0,FringeRate_Y4_Faculty,FringeRate_Y4_Faculty,FringeRate_Y4_Classified,FringeRate_Y4_LTE)))</f>
        <v>0</v>
      </c>
      <c r="AN16" s="784"/>
      <c r="AO16" s="785">
        <f t="shared" si="2"/>
        <v>0</v>
      </c>
      <c r="AP16" s="786"/>
      <c r="AQ16" s="530">
        <f t="shared" si="3"/>
        <v>0</v>
      </c>
      <c r="AR16" s="531"/>
      <c r="AS16" s="531"/>
      <c r="AT16" s="612"/>
      <c r="AU16" s="137"/>
      <c r="AV16" s="10"/>
    </row>
    <row r="17" spans="2:48" ht="18" customHeight="1" thickBot="1" x14ac:dyDescent="0.25">
      <c r="B17" s="10"/>
      <c r="C17" s="137"/>
      <c r="D17" s="137"/>
      <c r="E17" s="149" t="s">
        <v>97</v>
      </c>
      <c r="F17" s="722">
        <f>'Budget Period 1'!F17:K17</f>
        <v>0</v>
      </c>
      <c r="G17" s="723"/>
      <c r="H17" s="723"/>
      <c r="I17" s="723"/>
      <c r="J17" s="723"/>
      <c r="K17" s="724"/>
      <c r="L17" s="725" t="str">
        <f>CHOOSE('Budget Period 1'!L17,"",'Drop-Down_Options'!$B$25,'Drop-Down_Options'!$B$26,'Drop-Down_Options'!$B$27,'Drop-Down_Options'!$B$28)</f>
        <v/>
      </c>
      <c r="M17" s="726"/>
      <c r="N17" s="727"/>
      <c r="O17" s="725" t="str">
        <f>CHOOSE('Budget Period 1'!O17,"",'Drop-Down_Options'!$B$35,'Drop-Down_Options'!$B$36,"Classified","LTE")</f>
        <v/>
      </c>
      <c r="P17" s="726"/>
      <c r="Q17" s="726"/>
      <c r="R17" s="726"/>
      <c r="S17" s="726"/>
      <c r="T17" s="727"/>
      <c r="U17" s="719">
        <f>'Budget Period 3'!U17*(1+IF(L17="PI",Data_SalaryInflationRatePI,Data_SalaryInflationRate))</f>
        <v>0</v>
      </c>
      <c r="V17" s="720"/>
      <c r="W17" s="720"/>
      <c r="X17" s="721"/>
      <c r="Y17" s="114">
        <v>1</v>
      </c>
      <c r="Z17" s="118"/>
      <c r="AA17" s="117" t="str">
        <f t="shared" si="0"/>
        <v/>
      </c>
      <c r="AB17" s="434"/>
      <c r="AC17" s="436"/>
      <c r="AD17" s="625"/>
      <c r="AE17" s="626"/>
      <c r="AF17" s="626"/>
      <c r="AG17" s="535">
        <f t="shared" si="1"/>
        <v>0</v>
      </c>
      <c r="AH17" s="536"/>
      <c r="AI17" s="530">
        <f>(IF(OR('Budget Period 1'!L17&lt;2,'Budget Period 1'!O17&lt;2),0,IF(OR('Budget Period 1'!O17=4,'Budget Period 1'!O17=5),U17*2080/12*AB17*AD17,(U17/(CHOOSE('Budget Period 1'!O17,0,9,12,0,0))*AB17*AD17))))</f>
        <v>0</v>
      </c>
      <c r="AJ17" s="531"/>
      <c r="AK17" s="531"/>
      <c r="AL17" s="532"/>
      <c r="AM17" s="783">
        <f>IF(OR('Budget Period 1'!L17&lt;2,'Budget Period 1'!O17&lt;2),0,IF('Budget Period 1'!L17=4,FringeRate_Y4_PostDoc,CHOOSE('Budget Period 1'!O17,0,FringeRate_Y4_Faculty,FringeRate_Y4_Faculty,FringeRate_Y4_Classified,FringeRate_Y4_LTE)))</f>
        <v>0</v>
      </c>
      <c r="AN17" s="784"/>
      <c r="AO17" s="785">
        <f t="shared" si="2"/>
        <v>0</v>
      </c>
      <c r="AP17" s="786"/>
      <c r="AQ17" s="530">
        <f t="shared" si="3"/>
        <v>0</v>
      </c>
      <c r="AR17" s="531"/>
      <c r="AS17" s="531"/>
      <c r="AT17" s="612"/>
      <c r="AU17" s="137"/>
      <c r="AV17" s="10"/>
    </row>
    <row r="18" spans="2:48" ht="18" customHeight="1" thickBot="1" x14ac:dyDescent="0.25">
      <c r="B18" s="10"/>
      <c r="C18" s="137"/>
      <c r="D18" s="137"/>
      <c r="E18" s="149" t="s">
        <v>98</v>
      </c>
      <c r="F18" s="722">
        <f>'Budget Period 1'!F18:K18</f>
        <v>0</v>
      </c>
      <c r="G18" s="723"/>
      <c r="H18" s="723"/>
      <c r="I18" s="723"/>
      <c r="J18" s="723"/>
      <c r="K18" s="724"/>
      <c r="L18" s="725" t="str">
        <f>CHOOSE('Budget Period 1'!L18,"",'Drop-Down_Options'!$B$25,'Drop-Down_Options'!$B$26,'Drop-Down_Options'!$B$27,'Drop-Down_Options'!$B$28)</f>
        <v/>
      </c>
      <c r="M18" s="726"/>
      <c r="N18" s="727"/>
      <c r="O18" s="725" t="str">
        <f>CHOOSE('Budget Period 1'!O18,"",'Drop-Down_Options'!$B$35,'Drop-Down_Options'!$B$36,"Classified","LTE")</f>
        <v/>
      </c>
      <c r="P18" s="726"/>
      <c r="Q18" s="726"/>
      <c r="R18" s="726"/>
      <c r="S18" s="726"/>
      <c r="T18" s="727"/>
      <c r="U18" s="719">
        <f>'Budget Period 3'!U18*(1+IF(L18="PI",Data_SalaryInflationRatePI,Data_SalaryInflationRate))</f>
        <v>0</v>
      </c>
      <c r="V18" s="720"/>
      <c r="W18" s="720"/>
      <c r="X18" s="721"/>
      <c r="Y18" s="114">
        <v>1</v>
      </c>
      <c r="Z18" s="118"/>
      <c r="AA18" s="117" t="str">
        <f t="shared" si="0"/>
        <v/>
      </c>
      <c r="AB18" s="434"/>
      <c r="AC18" s="436"/>
      <c r="AD18" s="625"/>
      <c r="AE18" s="626"/>
      <c r="AF18" s="626"/>
      <c r="AG18" s="535">
        <f t="shared" si="1"/>
        <v>0</v>
      </c>
      <c r="AH18" s="536"/>
      <c r="AI18" s="530">
        <f>(IF(OR('Budget Period 1'!L18&lt;2,'Budget Period 1'!O18&lt;2),0,IF(OR('Budget Period 1'!O18=4,'Budget Period 1'!O18=5),U18*2080/12*AB18*AD18,(U18/(CHOOSE('Budget Period 1'!O18,0,9,12,0,0))*AB18*AD18))))</f>
        <v>0</v>
      </c>
      <c r="AJ18" s="531"/>
      <c r="AK18" s="531"/>
      <c r="AL18" s="532"/>
      <c r="AM18" s="783">
        <f>IF(OR('Budget Period 1'!L18&lt;2,'Budget Period 1'!O18&lt;2),0,IF('Budget Period 1'!L18=4,FringeRate_Y4_PostDoc,CHOOSE('Budget Period 1'!O18,0,FringeRate_Y4_Faculty,FringeRate_Y4_Faculty,FringeRate_Y4_Classified,FringeRate_Y4_LTE)))</f>
        <v>0</v>
      </c>
      <c r="AN18" s="784"/>
      <c r="AO18" s="785">
        <f t="shared" si="2"/>
        <v>0</v>
      </c>
      <c r="AP18" s="786"/>
      <c r="AQ18" s="530">
        <f t="shared" si="3"/>
        <v>0</v>
      </c>
      <c r="AR18" s="531"/>
      <c r="AS18" s="531"/>
      <c r="AT18" s="612"/>
      <c r="AU18" s="137"/>
      <c r="AV18" s="10"/>
    </row>
    <row r="19" spans="2:48" ht="18" customHeight="1" thickBot="1" x14ac:dyDescent="0.25">
      <c r="B19" s="10"/>
      <c r="C19" s="137"/>
      <c r="D19" s="137"/>
      <c r="E19" s="149" t="s">
        <v>99</v>
      </c>
      <c r="F19" s="722">
        <f>'Budget Period 1'!F19:K19</f>
        <v>0</v>
      </c>
      <c r="G19" s="723"/>
      <c r="H19" s="723"/>
      <c r="I19" s="723"/>
      <c r="J19" s="723"/>
      <c r="K19" s="724"/>
      <c r="L19" s="725" t="str">
        <f>CHOOSE('Budget Period 1'!L19,"",'Drop-Down_Options'!$B$25,'Drop-Down_Options'!$B$26,'Drop-Down_Options'!$B$27,'Drop-Down_Options'!$B$28)</f>
        <v/>
      </c>
      <c r="M19" s="726"/>
      <c r="N19" s="727"/>
      <c r="O19" s="725" t="str">
        <f>CHOOSE('Budget Period 1'!O19,"",'Drop-Down_Options'!$B$35,'Drop-Down_Options'!$B$36,"Classified","LTE")</f>
        <v/>
      </c>
      <c r="P19" s="726"/>
      <c r="Q19" s="726"/>
      <c r="R19" s="726"/>
      <c r="S19" s="726"/>
      <c r="T19" s="727"/>
      <c r="U19" s="719">
        <f>'Budget Period 3'!U19*(1+IF(L19="PI",Data_SalaryInflationRatePI,Data_SalaryInflationRate))</f>
        <v>0</v>
      </c>
      <c r="V19" s="720"/>
      <c r="W19" s="720"/>
      <c r="X19" s="721"/>
      <c r="Y19" s="114">
        <v>1</v>
      </c>
      <c r="Z19" s="118"/>
      <c r="AA19" s="117" t="str">
        <f t="shared" si="0"/>
        <v/>
      </c>
      <c r="AB19" s="434"/>
      <c r="AC19" s="436"/>
      <c r="AD19" s="625"/>
      <c r="AE19" s="626"/>
      <c r="AF19" s="626"/>
      <c r="AG19" s="535">
        <f t="shared" si="1"/>
        <v>0</v>
      </c>
      <c r="AH19" s="536"/>
      <c r="AI19" s="530">
        <f>(IF(OR('Budget Period 1'!L19&lt;2,'Budget Period 1'!O19&lt;2),0,IF(OR('Budget Period 1'!O19=4,'Budget Period 1'!O19=5),U19*2080/12*AB19*AD19,(U19/(CHOOSE('Budget Period 1'!O19,0,9,12,0,0))*AB19*AD19))))</f>
        <v>0</v>
      </c>
      <c r="AJ19" s="531"/>
      <c r="AK19" s="531"/>
      <c r="AL19" s="532"/>
      <c r="AM19" s="783">
        <f>IF(OR('Budget Period 1'!L19&lt;2,'Budget Period 1'!O19&lt;2),0,IF('Budget Period 1'!L19=4,FringeRate_Y4_PostDoc,CHOOSE('Budget Period 1'!O19,0,FringeRate_Y4_Faculty,FringeRate_Y4_Faculty,FringeRate_Y4_Classified,FringeRate_Y4_LTE)))</f>
        <v>0</v>
      </c>
      <c r="AN19" s="784"/>
      <c r="AO19" s="785">
        <f t="shared" si="2"/>
        <v>0</v>
      </c>
      <c r="AP19" s="786"/>
      <c r="AQ19" s="530">
        <f t="shared" si="3"/>
        <v>0</v>
      </c>
      <c r="AR19" s="531"/>
      <c r="AS19" s="531"/>
      <c r="AT19" s="612"/>
      <c r="AU19" s="137"/>
      <c r="AV19" s="10"/>
    </row>
    <row r="20" spans="2:48" ht="18" customHeight="1" thickBot="1" x14ac:dyDescent="0.25">
      <c r="B20" s="10"/>
      <c r="C20" s="137"/>
      <c r="D20" s="137"/>
      <c r="E20" s="149" t="s">
        <v>141</v>
      </c>
      <c r="F20" s="722">
        <f>'Budget Period 1'!F20:K20</f>
        <v>0</v>
      </c>
      <c r="G20" s="723"/>
      <c r="H20" s="723"/>
      <c r="I20" s="723"/>
      <c r="J20" s="723"/>
      <c r="K20" s="724"/>
      <c r="L20" s="725" t="str">
        <f>CHOOSE('Budget Period 1'!L20,"",'Drop-Down_Options'!$B$25,'Drop-Down_Options'!$B$26,'Drop-Down_Options'!$B$27,'Drop-Down_Options'!$B$28)</f>
        <v/>
      </c>
      <c r="M20" s="726"/>
      <c r="N20" s="727"/>
      <c r="O20" s="725" t="str">
        <f>CHOOSE('Budget Period 1'!O20,"",'Drop-Down_Options'!$B$35,'Drop-Down_Options'!$B$36,"Classified","LTE")</f>
        <v/>
      </c>
      <c r="P20" s="726"/>
      <c r="Q20" s="726"/>
      <c r="R20" s="726"/>
      <c r="S20" s="726"/>
      <c r="T20" s="727"/>
      <c r="U20" s="719">
        <f>'Budget Period 3'!U20*(1+IF(L20="PI",Data_SalaryInflationRatePI,Data_SalaryInflationRate))</f>
        <v>0</v>
      </c>
      <c r="V20" s="720"/>
      <c r="W20" s="720"/>
      <c r="X20" s="721"/>
      <c r="Y20" s="114">
        <v>1</v>
      </c>
      <c r="Z20" s="118"/>
      <c r="AA20" s="117" t="str">
        <f t="shared" si="0"/>
        <v/>
      </c>
      <c r="AB20" s="434"/>
      <c r="AC20" s="436"/>
      <c r="AD20" s="625"/>
      <c r="AE20" s="626"/>
      <c r="AF20" s="626"/>
      <c r="AG20" s="535">
        <f t="shared" si="1"/>
        <v>0</v>
      </c>
      <c r="AH20" s="536"/>
      <c r="AI20" s="530">
        <f>(IF(OR('Budget Period 1'!L20&lt;2,'Budget Period 1'!O20&lt;2),0,IF(OR('Budget Period 1'!O20=4,'Budget Period 1'!O20=5),U20*2080/12*AB20*AD20,(U20/(CHOOSE('Budget Period 1'!O20,0,9,12,0,0))*AB20*AD20))))</f>
        <v>0</v>
      </c>
      <c r="AJ20" s="531"/>
      <c r="AK20" s="531"/>
      <c r="AL20" s="532"/>
      <c r="AM20" s="783">
        <f>IF(OR('Budget Period 1'!L20&lt;2,'Budget Period 1'!O20&lt;2),0,IF('Budget Period 1'!L20=4,FringeRate_Y4_PostDoc,CHOOSE('Budget Period 1'!O20,0,FringeRate_Y4_Faculty,FringeRate_Y4_Faculty,FringeRate_Y4_Classified,FringeRate_Y4_LTE)))</f>
        <v>0</v>
      </c>
      <c r="AN20" s="784"/>
      <c r="AO20" s="785">
        <f t="shared" si="2"/>
        <v>0</v>
      </c>
      <c r="AP20" s="786"/>
      <c r="AQ20" s="530">
        <f t="shared" si="3"/>
        <v>0</v>
      </c>
      <c r="AR20" s="531"/>
      <c r="AS20" s="531"/>
      <c r="AT20" s="612"/>
      <c r="AU20" s="137"/>
      <c r="AV20" s="10"/>
    </row>
    <row r="21" spans="2:48" ht="18" customHeight="1" thickBot="1" x14ac:dyDescent="0.25">
      <c r="B21" s="10"/>
      <c r="C21" s="137"/>
      <c r="D21" s="137"/>
      <c r="E21" s="149" t="s">
        <v>100</v>
      </c>
      <c r="F21" s="722">
        <f>'Budget Period 1'!F21:K21</f>
        <v>0</v>
      </c>
      <c r="G21" s="723"/>
      <c r="H21" s="723"/>
      <c r="I21" s="723"/>
      <c r="J21" s="723"/>
      <c r="K21" s="724"/>
      <c r="L21" s="725" t="str">
        <f>CHOOSE('Budget Period 1'!L21,"",'Drop-Down_Options'!$B$25,'Drop-Down_Options'!$B$26,'Drop-Down_Options'!$B$27,'Drop-Down_Options'!$B$28)</f>
        <v/>
      </c>
      <c r="M21" s="726"/>
      <c r="N21" s="727"/>
      <c r="O21" s="725" t="str">
        <f>CHOOSE('Budget Period 1'!O21,"",'Drop-Down_Options'!$B$35,'Drop-Down_Options'!$B$36,"Classified","LTE")</f>
        <v/>
      </c>
      <c r="P21" s="726"/>
      <c r="Q21" s="726"/>
      <c r="R21" s="726"/>
      <c r="S21" s="726"/>
      <c r="T21" s="727"/>
      <c r="U21" s="719">
        <f>'Budget Period 3'!U21*(1+IF(L21="PI",Data_SalaryInflationRatePI,Data_SalaryInflationRate))</f>
        <v>0</v>
      </c>
      <c r="V21" s="720"/>
      <c r="W21" s="720"/>
      <c r="X21" s="721"/>
      <c r="Y21" s="114">
        <v>1</v>
      </c>
      <c r="Z21" s="118"/>
      <c r="AA21" s="117" t="str">
        <f t="shared" si="0"/>
        <v/>
      </c>
      <c r="AB21" s="434"/>
      <c r="AC21" s="436"/>
      <c r="AD21" s="625"/>
      <c r="AE21" s="626"/>
      <c r="AF21" s="626"/>
      <c r="AG21" s="535">
        <f t="shared" si="1"/>
        <v>0</v>
      </c>
      <c r="AH21" s="536"/>
      <c r="AI21" s="530">
        <f>(IF(OR('Budget Period 1'!L21&lt;2,'Budget Period 1'!O21&lt;2),0,IF(OR('Budget Period 1'!O21=4,'Budget Period 1'!O21=5),U21*2080/12*AB21*AD21,(U21/(CHOOSE('Budget Period 1'!O21,0,9,12,0,0))*AB21*AD21))))</f>
        <v>0</v>
      </c>
      <c r="AJ21" s="531"/>
      <c r="AK21" s="531"/>
      <c r="AL21" s="532"/>
      <c r="AM21" s="783">
        <f>IF(OR('Budget Period 1'!L21&lt;2,'Budget Period 1'!O21&lt;2),0,IF('Budget Period 1'!L21=4,FringeRate_Y4_PostDoc,CHOOSE('Budget Period 1'!O21,0,FringeRate_Y4_Faculty,FringeRate_Y4_Faculty,FringeRate_Y4_Classified,FringeRate_Y4_LTE)))</f>
        <v>0</v>
      </c>
      <c r="AN21" s="784"/>
      <c r="AO21" s="785">
        <f t="shared" si="2"/>
        <v>0</v>
      </c>
      <c r="AP21" s="786"/>
      <c r="AQ21" s="530">
        <f t="shared" si="3"/>
        <v>0</v>
      </c>
      <c r="AR21" s="531"/>
      <c r="AS21" s="531"/>
      <c r="AT21" s="612"/>
      <c r="AU21" s="137"/>
      <c r="AV21" s="10"/>
    </row>
    <row r="22" spans="2:48" ht="18" customHeight="1" thickBot="1" x14ac:dyDescent="0.25">
      <c r="B22" s="10"/>
      <c r="C22" s="137"/>
      <c r="D22" s="137"/>
      <c r="E22" s="149" t="s">
        <v>101</v>
      </c>
      <c r="F22" s="722">
        <f>'Budget Period 1'!F22:K22</f>
        <v>0</v>
      </c>
      <c r="G22" s="723"/>
      <c r="H22" s="723"/>
      <c r="I22" s="723"/>
      <c r="J22" s="723"/>
      <c r="K22" s="724"/>
      <c r="L22" s="725" t="str">
        <f>CHOOSE('Budget Period 1'!L22,"",'Drop-Down_Options'!$B$25,'Drop-Down_Options'!$B$26,'Drop-Down_Options'!$B$27,'Drop-Down_Options'!$B$28)</f>
        <v/>
      </c>
      <c r="M22" s="726"/>
      <c r="N22" s="727"/>
      <c r="O22" s="725" t="str">
        <f>CHOOSE('Budget Period 1'!O22,"",'Drop-Down_Options'!$B$35,'Drop-Down_Options'!$B$36,"Classified","LTE")</f>
        <v/>
      </c>
      <c r="P22" s="726"/>
      <c r="Q22" s="726"/>
      <c r="R22" s="726"/>
      <c r="S22" s="726"/>
      <c r="T22" s="727"/>
      <c r="U22" s="719">
        <f>'Budget Period 3'!U22*(1+IF(L22="PI",Data_SalaryInflationRatePI,Data_SalaryInflationRate))</f>
        <v>0</v>
      </c>
      <c r="V22" s="720"/>
      <c r="W22" s="720"/>
      <c r="X22" s="721"/>
      <c r="Y22" s="114">
        <v>1</v>
      </c>
      <c r="Z22" s="118"/>
      <c r="AA22" s="117" t="str">
        <f t="shared" si="0"/>
        <v/>
      </c>
      <c r="AB22" s="434"/>
      <c r="AC22" s="436"/>
      <c r="AD22" s="625"/>
      <c r="AE22" s="626"/>
      <c r="AF22" s="626"/>
      <c r="AG22" s="535">
        <f t="shared" si="1"/>
        <v>0</v>
      </c>
      <c r="AH22" s="536"/>
      <c r="AI22" s="530">
        <f>(IF(OR('Budget Period 1'!L22&lt;2,'Budget Period 1'!O22&lt;2),0,IF(OR('Budget Period 1'!O22=4,'Budget Period 1'!O22=5),U22*2080/12*AB22*AD22,(U22/(CHOOSE('Budget Period 1'!O22,0,9,12,0,0))*AB22*AD22))))</f>
        <v>0</v>
      </c>
      <c r="AJ22" s="531"/>
      <c r="AK22" s="531"/>
      <c r="AL22" s="532"/>
      <c r="AM22" s="783">
        <f>IF(OR('Budget Period 1'!L22&lt;2,'Budget Period 1'!O22&lt;2),0,IF('Budget Period 1'!L22=4,FringeRate_Y4_PostDoc,CHOOSE('Budget Period 1'!O22,0,FringeRate_Y4_Faculty,FringeRate_Y4_Faculty,FringeRate_Y4_Classified,FringeRate_Y4_LTE)))</f>
        <v>0</v>
      </c>
      <c r="AN22" s="784"/>
      <c r="AO22" s="785">
        <f t="shared" si="2"/>
        <v>0</v>
      </c>
      <c r="AP22" s="786"/>
      <c r="AQ22" s="530">
        <f t="shared" si="3"/>
        <v>0</v>
      </c>
      <c r="AR22" s="531"/>
      <c r="AS22" s="531"/>
      <c r="AT22" s="612"/>
      <c r="AU22" s="137"/>
      <c r="AV22" s="10"/>
    </row>
    <row r="23" spans="2:48" ht="18" customHeight="1" thickBot="1" x14ac:dyDescent="0.25">
      <c r="B23" s="10"/>
      <c r="C23" s="137"/>
      <c r="D23" s="137"/>
      <c r="E23" s="149" t="s">
        <v>102</v>
      </c>
      <c r="F23" s="722">
        <f>'Budget Period 1'!F23:K23</f>
        <v>0</v>
      </c>
      <c r="G23" s="723"/>
      <c r="H23" s="723"/>
      <c r="I23" s="723"/>
      <c r="J23" s="723"/>
      <c r="K23" s="724"/>
      <c r="L23" s="725" t="str">
        <f>CHOOSE('Budget Period 1'!L23,"",'Drop-Down_Options'!$B$25,'Drop-Down_Options'!$B$26,'Drop-Down_Options'!$B$27,'Drop-Down_Options'!$B$28)</f>
        <v/>
      </c>
      <c r="M23" s="726"/>
      <c r="N23" s="727"/>
      <c r="O23" s="725" t="str">
        <f>CHOOSE('Budget Period 1'!O23,"",'Drop-Down_Options'!$B$35,'Drop-Down_Options'!$B$36,"Classified","LTE")</f>
        <v/>
      </c>
      <c r="P23" s="726"/>
      <c r="Q23" s="726"/>
      <c r="R23" s="726"/>
      <c r="S23" s="726"/>
      <c r="T23" s="727"/>
      <c r="U23" s="719">
        <f>'Budget Period 3'!U23*(1+IF(L23="PI",Data_SalaryInflationRatePI,Data_SalaryInflationRate))</f>
        <v>0</v>
      </c>
      <c r="V23" s="720"/>
      <c r="W23" s="720"/>
      <c r="X23" s="721"/>
      <c r="Y23" s="114">
        <v>1</v>
      </c>
      <c r="Z23" s="118"/>
      <c r="AA23" s="117" t="str">
        <f t="shared" si="0"/>
        <v/>
      </c>
      <c r="AB23" s="434"/>
      <c r="AC23" s="436"/>
      <c r="AD23" s="625"/>
      <c r="AE23" s="626"/>
      <c r="AF23" s="626"/>
      <c r="AG23" s="535">
        <f t="shared" si="1"/>
        <v>0</v>
      </c>
      <c r="AH23" s="536"/>
      <c r="AI23" s="530">
        <f>(IF(OR('Budget Period 1'!L23&lt;2,'Budget Period 1'!O23&lt;2),0,IF(OR('Budget Period 1'!O23=4,'Budget Period 1'!O23=5),U23*2080/12*AB23*AD23,(U23/(CHOOSE('Budget Period 1'!O23,0,9,12,0,0))*AB23*AD23))))</f>
        <v>0</v>
      </c>
      <c r="AJ23" s="531"/>
      <c r="AK23" s="531"/>
      <c r="AL23" s="532"/>
      <c r="AM23" s="783">
        <f>IF(OR('Budget Period 1'!L23&lt;2,'Budget Period 1'!O23&lt;2),0,IF('Budget Period 1'!L23=4,FringeRate_Y4_PostDoc,CHOOSE('Budget Period 1'!O23,0,FringeRate_Y4_Faculty,FringeRate_Y4_Faculty,FringeRate_Y4_Classified,FringeRate_Y4_LTE)))</f>
        <v>0</v>
      </c>
      <c r="AN23" s="784"/>
      <c r="AO23" s="785">
        <f t="shared" si="2"/>
        <v>0</v>
      </c>
      <c r="AP23" s="786"/>
      <c r="AQ23" s="530">
        <f t="shared" si="3"/>
        <v>0</v>
      </c>
      <c r="AR23" s="531"/>
      <c r="AS23" s="531"/>
      <c r="AT23" s="612"/>
      <c r="AU23" s="137"/>
      <c r="AV23" s="10"/>
    </row>
    <row r="24" spans="2:48" ht="18" customHeight="1" thickBot="1" x14ac:dyDescent="0.25">
      <c r="B24" s="10"/>
      <c r="C24" s="137"/>
      <c r="D24" s="137"/>
      <c r="E24" s="149" t="s">
        <v>103</v>
      </c>
      <c r="F24" s="722">
        <f>'Budget Period 1'!F24:K24</f>
        <v>0</v>
      </c>
      <c r="G24" s="723"/>
      <c r="H24" s="723"/>
      <c r="I24" s="723"/>
      <c r="J24" s="723"/>
      <c r="K24" s="724"/>
      <c r="L24" s="725" t="str">
        <f>CHOOSE('Budget Period 1'!L24,"",'Drop-Down_Options'!$B$25,'Drop-Down_Options'!$B$26,'Drop-Down_Options'!$B$27,'Drop-Down_Options'!$B$28)</f>
        <v/>
      </c>
      <c r="M24" s="726"/>
      <c r="N24" s="727"/>
      <c r="O24" s="725" t="str">
        <f>CHOOSE('Budget Period 1'!O24,"",'Drop-Down_Options'!$B$35,'Drop-Down_Options'!$B$36,"Classified","LTE")</f>
        <v/>
      </c>
      <c r="P24" s="726"/>
      <c r="Q24" s="726"/>
      <c r="R24" s="726"/>
      <c r="S24" s="726"/>
      <c r="T24" s="727"/>
      <c r="U24" s="719">
        <f>'Budget Period 3'!U24*(1+IF(L24="PI",Data_SalaryInflationRatePI,Data_SalaryInflationRate))</f>
        <v>0</v>
      </c>
      <c r="V24" s="720"/>
      <c r="W24" s="720"/>
      <c r="X24" s="721"/>
      <c r="Y24" s="114">
        <v>1</v>
      </c>
      <c r="Z24" s="118"/>
      <c r="AA24" s="117" t="str">
        <f t="shared" si="0"/>
        <v/>
      </c>
      <c r="AB24" s="434"/>
      <c r="AC24" s="436"/>
      <c r="AD24" s="625"/>
      <c r="AE24" s="626"/>
      <c r="AF24" s="626"/>
      <c r="AG24" s="535">
        <f t="shared" si="1"/>
        <v>0</v>
      </c>
      <c r="AH24" s="536"/>
      <c r="AI24" s="530">
        <f>(IF(OR('Budget Period 1'!L24&lt;2,'Budget Period 1'!O24&lt;2),0,IF(OR('Budget Period 1'!O24=4,'Budget Period 1'!O24=5),U24*2080/12*AB24*AD24,(U24/(CHOOSE('Budget Period 1'!O24,0,9,12,0,0))*AB24*AD24))))</f>
        <v>0</v>
      </c>
      <c r="AJ24" s="531"/>
      <c r="AK24" s="531"/>
      <c r="AL24" s="532"/>
      <c r="AM24" s="783">
        <f>IF(OR('Budget Period 1'!L24&lt;2,'Budget Period 1'!O24&lt;2),0,IF('Budget Period 1'!L24=4,FringeRate_Y4_PostDoc,CHOOSE('Budget Period 1'!O24,0,FringeRate_Y4_Faculty,FringeRate_Y4_Faculty,FringeRate_Y4_Classified,FringeRate_Y4_LTE)))</f>
        <v>0</v>
      </c>
      <c r="AN24" s="784"/>
      <c r="AO24" s="785">
        <f t="shared" si="2"/>
        <v>0</v>
      </c>
      <c r="AP24" s="786"/>
      <c r="AQ24" s="530">
        <f t="shared" si="3"/>
        <v>0</v>
      </c>
      <c r="AR24" s="531"/>
      <c r="AS24" s="531"/>
      <c r="AT24" s="612"/>
      <c r="AU24" s="137"/>
      <c r="AV24" s="10"/>
    </row>
    <row r="25" spans="2:48" ht="18" customHeight="1" thickBot="1" x14ac:dyDescent="0.25">
      <c r="B25" s="10"/>
      <c r="C25" s="137"/>
      <c r="D25" s="137"/>
      <c r="E25" s="149" t="s">
        <v>104</v>
      </c>
      <c r="F25" s="722">
        <f>'Budget Period 1'!F25:K25</f>
        <v>0</v>
      </c>
      <c r="G25" s="723"/>
      <c r="H25" s="723"/>
      <c r="I25" s="723"/>
      <c r="J25" s="723"/>
      <c r="K25" s="724"/>
      <c r="L25" s="725" t="str">
        <f>CHOOSE('Budget Period 1'!L25,"",'Drop-Down_Options'!$B$25,'Drop-Down_Options'!$B$26,'Drop-Down_Options'!$B$27,'Drop-Down_Options'!$B$28)</f>
        <v/>
      </c>
      <c r="M25" s="726"/>
      <c r="N25" s="727"/>
      <c r="O25" s="725" t="str">
        <f>CHOOSE('Budget Period 1'!O25,"",'Drop-Down_Options'!$B$35,'Drop-Down_Options'!$B$36,"Classified","LTE")</f>
        <v/>
      </c>
      <c r="P25" s="726"/>
      <c r="Q25" s="726"/>
      <c r="R25" s="726"/>
      <c r="S25" s="726"/>
      <c r="T25" s="727"/>
      <c r="U25" s="719">
        <f>'Budget Period 3'!U25*(1+IF(L25="PI",Data_SalaryInflationRatePI,Data_SalaryInflationRate))</f>
        <v>0</v>
      </c>
      <c r="V25" s="720"/>
      <c r="W25" s="720"/>
      <c r="X25" s="721"/>
      <c r="Y25" s="114">
        <v>1</v>
      </c>
      <c r="Z25" s="118"/>
      <c r="AA25" s="117" t="str">
        <f t="shared" si="0"/>
        <v/>
      </c>
      <c r="AB25" s="434"/>
      <c r="AC25" s="436"/>
      <c r="AD25" s="625"/>
      <c r="AE25" s="626"/>
      <c r="AF25" s="626"/>
      <c r="AG25" s="535">
        <f t="shared" si="1"/>
        <v>0</v>
      </c>
      <c r="AH25" s="536"/>
      <c r="AI25" s="530">
        <f>(IF(OR('Budget Period 1'!L25&lt;2,'Budget Period 1'!O25&lt;2),0,IF(OR('Budget Period 1'!O25=4,'Budget Period 1'!O25=5),U25*2080/12*AB25*AD25,(U25/(CHOOSE('Budget Period 1'!O25,0,9,12,0,0))*AB25*AD25))))</f>
        <v>0</v>
      </c>
      <c r="AJ25" s="531"/>
      <c r="AK25" s="531"/>
      <c r="AL25" s="532"/>
      <c r="AM25" s="783">
        <f>IF(OR('Budget Period 1'!L25&lt;2,'Budget Period 1'!O25&lt;2),0,IF('Budget Period 1'!L25=4,FringeRate_Y4_PostDoc,CHOOSE('Budget Period 1'!O25,0,FringeRate_Y4_Faculty,FringeRate_Y4_Faculty,FringeRate_Y4_Classified,FringeRate_Y4_LTE)))</f>
        <v>0</v>
      </c>
      <c r="AN25" s="784"/>
      <c r="AO25" s="785">
        <f t="shared" si="2"/>
        <v>0</v>
      </c>
      <c r="AP25" s="786"/>
      <c r="AQ25" s="530">
        <f t="shared" si="3"/>
        <v>0</v>
      </c>
      <c r="AR25" s="531"/>
      <c r="AS25" s="531"/>
      <c r="AT25" s="612"/>
      <c r="AU25" s="137"/>
      <c r="AV25" s="10"/>
    </row>
    <row r="26" spans="2:48" ht="18" customHeight="1" thickBot="1" x14ac:dyDescent="0.25">
      <c r="B26" s="10"/>
      <c r="C26" s="137"/>
      <c r="D26" s="137"/>
      <c r="E26" s="149" t="s">
        <v>105</v>
      </c>
      <c r="F26" s="722">
        <f>'Budget Period 1'!F26:K26</f>
        <v>0</v>
      </c>
      <c r="G26" s="723"/>
      <c r="H26" s="723"/>
      <c r="I26" s="723"/>
      <c r="J26" s="723"/>
      <c r="K26" s="724"/>
      <c r="L26" s="725" t="str">
        <f>CHOOSE('Budget Period 1'!L26,"",'Drop-Down_Options'!$B$25,'Drop-Down_Options'!$B$26,'Drop-Down_Options'!$B$27,'Drop-Down_Options'!$B$28)</f>
        <v/>
      </c>
      <c r="M26" s="726"/>
      <c r="N26" s="727"/>
      <c r="O26" s="725" t="str">
        <f>CHOOSE('Budget Period 1'!O26,"",'Drop-Down_Options'!$B$35,'Drop-Down_Options'!$B$36,"Classified","LTE")</f>
        <v/>
      </c>
      <c r="P26" s="726"/>
      <c r="Q26" s="726"/>
      <c r="R26" s="726"/>
      <c r="S26" s="726"/>
      <c r="T26" s="727"/>
      <c r="U26" s="719">
        <f>'Budget Period 3'!U26*(1+IF(L26="PI",Data_SalaryInflationRatePI,Data_SalaryInflationRate))</f>
        <v>0</v>
      </c>
      <c r="V26" s="720"/>
      <c r="W26" s="720"/>
      <c r="X26" s="721"/>
      <c r="Y26" s="114">
        <v>1</v>
      </c>
      <c r="Z26" s="118"/>
      <c r="AA26" s="117" t="str">
        <f t="shared" si="0"/>
        <v/>
      </c>
      <c r="AB26" s="434"/>
      <c r="AC26" s="436"/>
      <c r="AD26" s="625"/>
      <c r="AE26" s="626"/>
      <c r="AF26" s="626"/>
      <c r="AG26" s="535">
        <f t="shared" si="1"/>
        <v>0</v>
      </c>
      <c r="AH26" s="536"/>
      <c r="AI26" s="530">
        <f>(IF(OR('Budget Period 1'!L26&lt;2,'Budget Period 1'!O26&lt;2),0,IF(OR('Budget Period 1'!O26=4,'Budget Period 1'!O26=5),U26*2080/12*AB26*AD26,(U26/(CHOOSE('Budget Period 1'!O26,0,9,12,0,0))*AB26*AD26))))</f>
        <v>0</v>
      </c>
      <c r="AJ26" s="531"/>
      <c r="AK26" s="531"/>
      <c r="AL26" s="532"/>
      <c r="AM26" s="783">
        <f>IF(OR('Budget Period 1'!L26&lt;2,'Budget Period 1'!O26&lt;2),0,IF('Budget Period 1'!L26=4,FringeRate_Y4_PostDoc,CHOOSE('Budget Period 1'!O26,0,FringeRate_Y4_Faculty,FringeRate_Y4_Faculty,FringeRate_Y4_Classified,FringeRate_Y4_LTE)))</f>
        <v>0</v>
      </c>
      <c r="AN26" s="784"/>
      <c r="AO26" s="785">
        <f t="shared" si="2"/>
        <v>0</v>
      </c>
      <c r="AP26" s="786"/>
      <c r="AQ26" s="530">
        <f t="shared" si="3"/>
        <v>0</v>
      </c>
      <c r="AR26" s="531"/>
      <c r="AS26" s="531"/>
      <c r="AT26" s="612"/>
      <c r="AU26" s="137"/>
      <c r="AV26" s="10"/>
    </row>
    <row r="27" spans="2:48" ht="18" customHeight="1" thickBot="1" x14ac:dyDescent="0.25">
      <c r="B27" s="10"/>
      <c r="C27" s="137"/>
      <c r="D27" s="137"/>
      <c r="E27" s="149" t="s">
        <v>106</v>
      </c>
      <c r="F27" s="722">
        <f>'Budget Period 1'!F27:K27</f>
        <v>0</v>
      </c>
      <c r="G27" s="723"/>
      <c r="H27" s="723"/>
      <c r="I27" s="723"/>
      <c r="J27" s="723"/>
      <c r="K27" s="724"/>
      <c r="L27" s="725" t="str">
        <f>CHOOSE('Budget Period 1'!L27,"",'Drop-Down_Options'!$B$25,'Drop-Down_Options'!$B$26,'Drop-Down_Options'!$B$27,'Drop-Down_Options'!$B$28)</f>
        <v/>
      </c>
      <c r="M27" s="726"/>
      <c r="N27" s="727"/>
      <c r="O27" s="725" t="str">
        <f>CHOOSE('Budget Period 1'!O27,"",'Drop-Down_Options'!$B$35,'Drop-Down_Options'!$B$36,"Classified","LTE")</f>
        <v/>
      </c>
      <c r="P27" s="726"/>
      <c r="Q27" s="726"/>
      <c r="R27" s="726"/>
      <c r="S27" s="726"/>
      <c r="T27" s="727"/>
      <c r="U27" s="719">
        <f>'Budget Period 3'!U27*(1+IF(L27="PI",Data_SalaryInflationRatePI,Data_SalaryInflationRate))</f>
        <v>0</v>
      </c>
      <c r="V27" s="720"/>
      <c r="W27" s="720"/>
      <c r="X27" s="721"/>
      <c r="Y27" s="114">
        <v>1</v>
      </c>
      <c r="Z27" s="118"/>
      <c r="AA27" s="117" t="str">
        <f t="shared" si="0"/>
        <v/>
      </c>
      <c r="AB27" s="434"/>
      <c r="AC27" s="436"/>
      <c r="AD27" s="625"/>
      <c r="AE27" s="626"/>
      <c r="AF27" s="626"/>
      <c r="AG27" s="535">
        <f t="shared" si="1"/>
        <v>0</v>
      </c>
      <c r="AH27" s="536"/>
      <c r="AI27" s="530">
        <f>(IF(OR('Budget Period 1'!L27&lt;2,'Budget Period 1'!O27&lt;2),0,IF(OR('Budget Period 1'!O27=4,'Budget Period 1'!O27=5),U27*2080/12*AB27*AD27,(U27/(CHOOSE('Budget Period 1'!O27,0,9,12,0,0))*AB27*AD27))))</f>
        <v>0</v>
      </c>
      <c r="AJ27" s="531"/>
      <c r="AK27" s="531"/>
      <c r="AL27" s="532"/>
      <c r="AM27" s="783">
        <f>IF(OR('Budget Period 1'!L27&lt;2,'Budget Period 1'!O27&lt;2),0,IF('Budget Period 1'!L27=4,FringeRate_Y4_PostDoc,CHOOSE('Budget Period 1'!O27,0,FringeRate_Y4_Faculty,FringeRate_Y4_Faculty,FringeRate_Y4_Classified,FringeRate_Y4_LTE)))</f>
        <v>0</v>
      </c>
      <c r="AN27" s="784"/>
      <c r="AO27" s="785">
        <f t="shared" si="2"/>
        <v>0</v>
      </c>
      <c r="AP27" s="786"/>
      <c r="AQ27" s="530">
        <f t="shared" si="3"/>
        <v>0</v>
      </c>
      <c r="AR27" s="531"/>
      <c r="AS27" s="531"/>
      <c r="AT27" s="612"/>
      <c r="AU27" s="137"/>
      <c r="AV27" s="10"/>
    </row>
    <row r="28" spans="2:48" ht="18" customHeight="1" thickBot="1" x14ac:dyDescent="0.25">
      <c r="B28" s="10"/>
      <c r="C28" s="137"/>
      <c r="D28" s="137"/>
      <c r="E28" s="149" t="s">
        <v>107</v>
      </c>
      <c r="F28" s="722">
        <f>'Budget Period 1'!F28:K28</f>
        <v>0</v>
      </c>
      <c r="G28" s="723"/>
      <c r="H28" s="723"/>
      <c r="I28" s="723"/>
      <c r="J28" s="723"/>
      <c r="K28" s="724"/>
      <c r="L28" s="725" t="str">
        <f>CHOOSE('Budget Period 1'!L28,"",'Drop-Down_Options'!$B$25,'Drop-Down_Options'!$B$26,'Drop-Down_Options'!$B$27,'Drop-Down_Options'!$B$28)</f>
        <v/>
      </c>
      <c r="M28" s="726"/>
      <c r="N28" s="727"/>
      <c r="O28" s="725" t="str">
        <f>CHOOSE('Budget Period 1'!O28,"",'Drop-Down_Options'!$B$35,'Drop-Down_Options'!$B$36,"Classified","LTE")</f>
        <v/>
      </c>
      <c r="P28" s="726"/>
      <c r="Q28" s="726"/>
      <c r="R28" s="726"/>
      <c r="S28" s="726"/>
      <c r="T28" s="727"/>
      <c r="U28" s="719">
        <f>'Budget Period 3'!U28*(1+IF(L28="PI",Data_SalaryInflationRatePI,Data_SalaryInflationRate))</f>
        <v>0</v>
      </c>
      <c r="V28" s="720"/>
      <c r="W28" s="720"/>
      <c r="X28" s="721"/>
      <c r="Y28" s="114">
        <v>1</v>
      </c>
      <c r="Z28" s="118"/>
      <c r="AA28" s="117" t="str">
        <f t="shared" si="0"/>
        <v/>
      </c>
      <c r="AB28" s="434"/>
      <c r="AC28" s="436"/>
      <c r="AD28" s="625"/>
      <c r="AE28" s="626"/>
      <c r="AF28" s="626"/>
      <c r="AG28" s="535">
        <f t="shared" si="1"/>
        <v>0</v>
      </c>
      <c r="AH28" s="536"/>
      <c r="AI28" s="530">
        <f>(IF(OR('Budget Period 1'!L28&lt;2,'Budget Period 1'!O28&lt;2),0,IF(OR('Budget Period 1'!O28=4,'Budget Period 1'!O28=5),U28*2080/12*AB28*AD28,(U28/(CHOOSE('Budget Period 1'!O28,0,9,12,0,0))*AB28*AD28))))</f>
        <v>0</v>
      </c>
      <c r="AJ28" s="531"/>
      <c r="AK28" s="531"/>
      <c r="AL28" s="532"/>
      <c r="AM28" s="783">
        <f>IF(OR('Budget Period 1'!L28&lt;2,'Budget Period 1'!O28&lt;2),0,IF('Budget Period 1'!L28=4,FringeRate_Y4_PostDoc,CHOOSE('Budget Period 1'!O28,0,FringeRate_Y4_Faculty,FringeRate_Y4_Faculty,FringeRate_Y4_Classified,FringeRate_Y4_LTE)))</f>
        <v>0</v>
      </c>
      <c r="AN28" s="784"/>
      <c r="AO28" s="785">
        <f t="shared" si="2"/>
        <v>0</v>
      </c>
      <c r="AP28" s="786"/>
      <c r="AQ28" s="530">
        <f t="shared" si="3"/>
        <v>0</v>
      </c>
      <c r="AR28" s="531"/>
      <c r="AS28" s="531"/>
      <c r="AT28" s="612"/>
      <c r="AU28" s="137"/>
      <c r="AV28" s="10"/>
    </row>
    <row r="29" spans="2:48" ht="18" customHeight="1" thickBot="1" x14ac:dyDescent="0.25">
      <c r="B29" s="10"/>
      <c r="C29" s="137"/>
      <c r="D29" s="137"/>
      <c r="E29" s="149" t="s">
        <v>108</v>
      </c>
      <c r="F29" s="722">
        <f>'Budget Period 1'!F29:K29</f>
        <v>0</v>
      </c>
      <c r="G29" s="723"/>
      <c r="H29" s="723"/>
      <c r="I29" s="723"/>
      <c r="J29" s="723"/>
      <c r="K29" s="724"/>
      <c r="L29" s="725" t="str">
        <f>CHOOSE('Budget Period 1'!L29,"",'Drop-Down_Options'!$B$25,'Drop-Down_Options'!$B$26,'Drop-Down_Options'!$B$27,'Drop-Down_Options'!$B$28)</f>
        <v/>
      </c>
      <c r="M29" s="726"/>
      <c r="N29" s="727"/>
      <c r="O29" s="725" t="str">
        <f>CHOOSE('Budget Period 1'!O29,"",'Drop-Down_Options'!$B$35,'Drop-Down_Options'!$B$36,"Classified","LTE")</f>
        <v/>
      </c>
      <c r="P29" s="726"/>
      <c r="Q29" s="726"/>
      <c r="R29" s="726"/>
      <c r="S29" s="726"/>
      <c r="T29" s="727"/>
      <c r="U29" s="719">
        <f>'Budget Period 3'!U29*(1+IF(L29="PI",Data_SalaryInflationRatePI,Data_SalaryInflationRate))</f>
        <v>0</v>
      </c>
      <c r="V29" s="720"/>
      <c r="W29" s="720"/>
      <c r="X29" s="721"/>
      <c r="Y29" s="114">
        <v>1</v>
      </c>
      <c r="Z29" s="118"/>
      <c r="AA29" s="117" t="str">
        <f t="shared" si="0"/>
        <v/>
      </c>
      <c r="AB29" s="434"/>
      <c r="AC29" s="436"/>
      <c r="AD29" s="625"/>
      <c r="AE29" s="626"/>
      <c r="AF29" s="626"/>
      <c r="AG29" s="535">
        <f t="shared" si="1"/>
        <v>0</v>
      </c>
      <c r="AH29" s="536"/>
      <c r="AI29" s="530">
        <f>(IF(OR('Budget Period 1'!L29&lt;2,'Budget Period 1'!O29&lt;2),0,IF(OR('Budget Period 1'!O29=4,'Budget Period 1'!O29=5),U29*2080/12*AB29*AD29,(U29/(CHOOSE('Budget Period 1'!O29,0,9,12,0,0))*AB29*AD29))))</f>
        <v>0</v>
      </c>
      <c r="AJ29" s="531"/>
      <c r="AK29" s="531"/>
      <c r="AL29" s="532"/>
      <c r="AM29" s="783">
        <f>IF(OR('Budget Period 1'!L29&lt;2,'Budget Period 1'!O29&lt;2),0,IF('Budget Period 1'!L29=4,FringeRate_Y4_PostDoc,CHOOSE('Budget Period 1'!O29,0,FringeRate_Y4_Faculty,FringeRate_Y4_Faculty,FringeRate_Y4_Classified,FringeRate_Y4_LTE)))</f>
        <v>0</v>
      </c>
      <c r="AN29" s="784"/>
      <c r="AO29" s="785">
        <f t="shared" si="2"/>
        <v>0</v>
      </c>
      <c r="AP29" s="786"/>
      <c r="AQ29" s="530">
        <f t="shared" si="3"/>
        <v>0</v>
      </c>
      <c r="AR29" s="531"/>
      <c r="AS29" s="531"/>
      <c r="AT29" s="612"/>
      <c r="AU29" s="137"/>
      <c r="AV29" s="10"/>
    </row>
    <row r="30" spans="2:48" ht="18" customHeight="1" thickBot="1" x14ac:dyDescent="0.25">
      <c r="B30" s="10"/>
      <c r="C30" s="137"/>
      <c r="D30" s="137"/>
      <c r="E30" s="149" t="s">
        <v>109</v>
      </c>
      <c r="F30" s="728">
        <f>'Budget Period 1'!F30:K30</f>
        <v>0</v>
      </c>
      <c r="G30" s="729"/>
      <c r="H30" s="729"/>
      <c r="I30" s="729"/>
      <c r="J30" s="729"/>
      <c r="K30" s="730"/>
      <c r="L30" s="731" t="str">
        <f>CHOOSE('Budget Period 1'!L30,"",'Drop-Down_Options'!$B$25,'Drop-Down_Options'!$B$26,'Drop-Down_Options'!$B$27,'Drop-Down_Options'!$B$28)</f>
        <v/>
      </c>
      <c r="M30" s="732"/>
      <c r="N30" s="733"/>
      <c r="O30" s="731" t="str">
        <f>CHOOSE('Budget Period 1'!O30,"",'Drop-Down_Options'!$B$35,'Drop-Down_Options'!$B$36,"Classified","LTE")</f>
        <v/>
      </c>
      <c r="P30" s="732"/>
      <c r="Q30" s="732"/>
      <c r="R30" s="732"/>
      <c r="S30" s="732"/>
      <c r="T30" s="733"/>
      <c r="U30" s="734">
        <f>'Budget Period 3'!U30*(1+IF(L30="PI",Data_SalaryInflationRatePI,Data_SalaryInflationRate))</f>
        <v>0</v>
      </c>
      <c r="V30" s="735"/>
      <c r="W30" s="735"/>
      <c r="X30" s="736"/>
      <c r="Y30" s="115">
        <v>1</v>
      </c>
      <c r="Z30" s="120"/>
      <c r="AA30" s="117" t="str">
        <f t="shared" si="0"/>
        <v/>
      </c>
      <c r="AB30" s="598"/>
      <c r="AC30" s="599"/>
      <c r="AD30" s="647"/>
      <c r="AE30" s="648"/>
      <c r="AF30" s="648"/>
      <c r="AG30" s="600">
        <f t="shared" si="1"/>
        <v>0</v>
      </c>
      <c r="AH30" s="601"/>
      <c r="AI30" s="649">
        <f>(IF(OR('Budget Period 1'!L30&lt;2,'Budget Period 1'!O30&lt;2),0,IF(OR('Budget Period 1'!O30=4,'Budget Period 1'!O30=5),U30*2080/12*AB30*AD30,(U30/(CHOOSE('Budget Period 1'!O30,0,9,12,0,0))*AB30*AD30))))</f>
        <v>0</v>
      </c>
      <c r="AJ30" s="650"/>
      <c r="AK30" s="650"/>
      <c r="AL30" s="651"/>
      <c r="AM30" s="819">
        <f>IF(OR('Budget Period 1'!L30&lt;2,'Budget Period 1'!O30&lt;2),0,IF('Budget Period 1'!L30=4,FringeRate_Y4_PostDoc,CHOOSE('Budget Period 1'!O30,0,FringeRate_Y4_Faculty,FringeRate_Y4_Faculty,FringeRate_Y4_Classified,FringeRate_Y4_LTE)))</f>
        <v>0</v>
      </c>
      <c r="AN30" s="820"/>
      <c r="AO30" s="808">
        <f t="shared" si="2"/>
        <v>0</v>
      </c>
      <c r="AP30" s="809"/>
      <c r="AQ30" s="649">
        <f t="shared" si="3"/>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0">
        <f>SUM(AI11:AL30)</f>
        <v>0</v>
      </c>
      <c r="AJ32" s="811"/>
      <c r="AK32" s="811"/>
      <c r="AL32" s="812"/>
      <c r="AM32" s="154"/>
      <c r="AN32" s="154"/>
      <c r="AO32" s="810">
        <f>SUM(AO11:AP30)</f>
        <v>0</v>
      </c>
      <c r="AP32" s="811"/>
      <c r="AQ32" s="810">
        <f>SUM(AQ11:AT30)</f>
        <v>0</v>
      </c>
      <c r="AR32" s="811"/>
      <c r="AS32" s="811"/>
      <c r="AT32" s="812"/>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82" t="s">
        <v>433</v>
      </c>
      <c r="G35" s="518"/>
      <c r="H35" s="518"/>
      <c r="I35" s="518"/>
      <c r="J35" s="518"/>
      <c r="K35" s="518"/>
      <c r="L35" s="518"/>
      <c r="M35" s="518"/>
      <c r="N35" s="518"/>
      <c r="O35" s="518"/>
      <c r="P35" s="518"/>
      <c r="Q35" s="518"/>
      <c r="R35" s="518" t="s">
        <v>119</v>
      </c>
      <c r="S35" s="518"/>
      <c r="T35" s="518" t="s">
        <v>122</v>
      </c>
      <c r="U35" s="518"/>
      <c r="V35" s="518"/>
      <c r="W35" s="518"/>
      <c r="X35" s="518"/>
      <c r="Y35" s="518" t="s">
        <v>121</v>
      </c>
      <c r="Z35" s="518"/>
      <c r="AA35" s="518"/>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774"/>
      <c r="G36" s="775"/>
      <c r="H36" s="775"/>
      <c r="I36" s="775"/>
      <c r="J36" s="775"/>
      <c r="K36" s="775"/>
      <c r="L36" s="775"/>
      <c r="M36" s="775"/>
      <c r="N36" s="775"/>
      <c r="O36" s="775"/>
      <c r="P36" s="775"/>
      <c r="Q36" s="775"/>
      <c r="R36" s="775"/>
      <c r="S36" s="775"/>
      <c r="T36" s="775"/>
      <c r="U36" s="775"/>
      <c r="V36" s="775"/>
      <c r="W36" s="775"/>
      <c r="X36" s="775"/>
      <c r="Y36" s="775"/>
      <c r="Z36" s="775"/>
      <c r="AA36" s="776"/>
      <c r="AB36" s="765"/>
      <c r="AC36" s="766"/>
      <c r="AD36" s="767"/>
      <c r="AE36" s="137"/>
      <c r="AF36" s="687">
        <f>IF(OR(AB36="",Calc!F70=1),0,(AB36*TuitionRemission_GradAssistants_Y4)/IF(Calc!F70&lt;=5,1,2))</f>
        <v>0</v>
      </c>
      <c r="AG36" s="688"/>
      <c r="AH36" s="669"/>
      <c r="AI36" s="793">
        <f>IF(OR(Calc!D70=1,Calc!E70=1,Calc!F70=1),0,Calc!K70*AB36)</f>
        <v>0</v>
      </c>
      <c r="AJ36" s="802"/>
      <c r="AK36" s="802"/>
      <c r="AL36" s="794"/>
      <c r="AM36" s="800">
        <f>IF(AB36&gt;0,FringeRate_Y4_GradStudent,0)</f>
        <v>0</v>
      </c>
      <c r="AN36" s="801"/>
      <c r="AO36" s="793">
        <f>AM36*AI36</f>
        <v>0</v>
      </c>
      <c r="AP36" s="794"/>
      <c r="AQ36" s="793">
        <f>R36*T36+AC36+AF36+AI36+AO36</f>
        <v>0</v>
      </c>
      <c r="AR36" s="802"/>
      <c r="AS36" s="802"/>
      <c r="AT36" s="816"/>
      <c r="AU36" s="137"/>
      <c r="AV36" s="10"/>
    </row>
    <row r="37" spans="2:48" ht="20.100000000000001" customHeight="1" x14ac:dyDescent="0.2">
      <c r="B37" s="10"/>
      <c r="C37" s="137"/>
      <c r="D37" s="137"/>
      <c r="E37" s="342" t="s">
        <v>92</v>
      </c>
      <c r="F37" s="771"/>
      <c r="G37" s="772"/>
      <c r="H37" s="772"/>
      <c r="I37" s="772"/>
      <c r="J37" s="772"/>
      <c r="K37" s="772"/>
      <c r="L37" s="772"/>
      <c r="M37" s="772"/>
      <c r="N37" s="772"/>
      <c r="O37" s="772"/>
      <c r="P37" s="772"/>
      <c r="Q37" s="772"/>
      <c r="R37" s="772"/>
      <c r="S37" s="772"/>
      <c r="T37" s="772"/>
      <c r="U37" s="772"/>
      <c r="V37" s="772"/>
      <c r="W37" s="772"/>
      <c r="X37" s="772"/>
      <c r="Y37" s="772"/>
      <c r="Z37" s="772"/>
      <c r="AA37" s="773"/>
      <c r="AB37" s="655"/>
      <c r="AC37" s="656"/>
      <c r="AD37" s="657"/>
      <c r="AE37" s="137"/>
      <c r="AF37" s="642">
        <f>IF(OR(AB37="",Calc!F71=1),0,(AB37*TuitionRemission_GradAssistants_Y4)/IF(Calc!F71&lt;=5,1,2))</f>
        <v>0</v>
      </c>
      <c r="AG37" s="643"/>
      <c r="AH37" s="644"/>
      <c r="AI37" s="795">
        <f>IF(OR(Calc!D71=1,Calc!E71=1,Calc!F71=1),0,Calc!K71*AB37)</f>
        <v>0</v>
      </c>
      <c r="AJ37" s="803"/>
      <c r="AK37" s="803"/>
      <c r="AL37" s="796"/>
      <c r="AM37" s="804">
        <f>IF(AB37&gt;0,FringeRate_Y4_GradStudent,0)</f>
        <v>0</v>
      </c>
      <c r="AN37" s="805"/>
      <c r="AO37" s="795">
        <f t="shared" ref="AO37:AO40" si="4">AM37*AI37</f>
        <v>0</v>
      </c>
      <c r="AP37" s="796"/>
      <c r="AQ37" s="795">
        <f t="shared" ref="AQ37:AQ40" si="5">R37*T37+AC37+AF37+AI37+AO37</f>
        <v>0</v>
      </c>
      <c r="AR37" s="803"/>
      <c r="AS37" s="803"/>
      <c r="AT37" s="817"/>
      <c r="AU37" s="137"/>
      <c r="AV37" s="10"/>
    </row>
    <row r="38" spans="2:48" ht="20.100000000000001" customHeight="1" x14ac:dyDescent="0.2">
      <c r="B38" s="10"/>
      <c r="C38" s="137"/>
      <c r="D38" s="137"/>
      <c r="E38" s="342" t="s">
        <v>93</v>
      </c>
      <c r="F38" s="771"/>
      <c r="G38" s="772"/>
      <c r="H38" s="772"/>
      <c r="I38" s="772"/>
      <c r="J38" s="772"/>
      <c r="K38" s="772"/>
      <c r="L38" s="772"/>
      <c r="M38" s="772"/>
      <c r="N38" s="772"/>
      <c r="O38" s="772"/>
      <c r="P38" s="772"/>
      <c r="Q38" s="772"/>
      <c r="R38" s="772"/>
      <c r="S38" s="772"/>
      <c r="T38" s="772"/>
      <c r="U38" s="772"/>
      <c r="V38" s="772"/>
      <c r="W38" s="772"/>
      <c r="X38" s="772"/>
      <c r="Y38" s="772"/>
      <c r="Z38" s="772"/>
      <c r="AA38" s="773"/>
      <c r="AB38" s="655"/>
      <c r="AC38" s="656"/>
      <c r="AD38" s="657"/>
      <c r="AE38" s="137"/>
      <c r="AF38" s="642">
        <f>IF(OR(AB38="",Calc!F72=1),0,(AB38*TuitionRemission_GradAssistants_Y4)/IF(Calc!F72&lt;=5,1,2))</f>
        <v>0</v>
      </c>
      <c r="AG38" s="643"/>
      <c r="AH38" s="644"/>
      <c r="AI38" s="795">
        <f>IF(OR(Calc!D72=1,Calc!E72=1,Calc!F72=1),0,Calc!K72*AB38)</f>
        <v>0</v>
      </c>
      <c r="AJ38" s="803"/>
      <c r="AK38" s="803"/>
      <c r="AL38" s="796"/>
      <c r="AM38" s="804">
        <f>IF(AB38&gt;0,FringeRate_Y4_GradStudent,0)</f>
        <v>0</v>
      </c>
      <c r="AN38" s="805"/>
      <c r="AO38" s="795">
        <f t="shared" si="4"/>
        <v>0</v>
      </c>
      <c r="AP38" s="796"/>
      <c r="AQ38" s="795">
        <f t="shared" si="5"/>
        <v>0</v>
      </c>
      <c r="AR38" s="803"/>
      <c r="AS38" s="803"/>
      <c r="AT38" s="817"/>
      <c r="AU38" s="137"/>
      <c r="AV38" s="10"/>
    </row>
    <row r="39" spans="2:48" ht="20.100000000000001" customHeight="1" x14ac:dyDescent="0.2">
      <c r="B39" s="10"/>
      <c r="C39" s="137"/>
      <c r="D39" s="137"/>
      <c r="E39" s="342" t="s">
        <v>94</v>
      </c>
      <c r="F39" s="771"/>
      <c r="G39" s="772"/>
      <c r="H39" s="772"/>
      <c r="I39" s="772"/>
      <c r="J39" s="772"/>
      <c r="K39" s="772"/>
      <c r="L39" s="772"/>
      <c r="M39" s="772"/>
      <c r="N39" s="772"/>
      <c r="O39" s="772"/>
      <c r="P39" s="772"/>
      <c r="Q39" s="772"/>
      <c r="R39" s="772"/>
      <c r="S39" s="772"/>
      <c r="T39" s="772"/>
      <c r="U39" s="772"/>
      <c r="V39" s="772"/>
      <c r="W39" s="772"/>
      <c r="X39" s="772"/>
      <c r="Y39" s="772"/>
      <c r="Z39" s="772"/>
      <c r="AA39" s="773"/>
      <c r="AB39" s="655"/>
      <c r="AC39" s="656"/>
      <c r="AD39" s="657"/>
      <c r="AE39" s="137"/>
      <c r="AF39" s="642">
        <f>IF(OR(AB39="",Calc!F73=1),0,(AB39*TuitionRemission_GradAssistants_Y4)/IF(Calc!F73&lt;=5,1,2))</f>
        <v>0</v>
      </c>
      <c r="AG39" s="643"/>
      <c r="AH39" s="644"/>
      <c r="AI39" s="795">
        <f>IF(OR(Calc!D73=1,Calc!E73=1,Calc!F73=1),0,Calc!K73*AB39)</f>
        <v>0</v>
      </c>
      <c r="AJ39" s="803"/>
      <c r="AK39" s="803"/>
      <c r="AL39" s="796"/>
      <c r="AM39" s="804">
        <f>IF(AB39&gt;0,FringeRate_Y4_GradStudent,0)</f>
        <v>0</v>
      </c>
      <c r="AN39" s="805"/>
      <c r="AO39" s="795">
        <f t="shared" si="4"/>
        <v>0</v>
      </c>
      <c r="AP39" s="796"/>
      <c r="AQ39" s="795">
        <f t="shared" si="5"/>
        <v>0</v>
      </c>
      <c r="AR39" s="803"/>
      <c r="AS39" s="803"/>
      <c r="AT39" s="817"/>
      <c r="AU39" s="137"/>
      <c r="AV39" s="10"/>
    </row>
    <row r="40" spans="2:48" ht="20.100000000000001" customHeight="1" thickBot="1" x14ac:dyDescent="0.25">
      <c r="B40" s="10"/>
      <c r="C40" s="137"/>
      <c r="D40" s="137"/>
      <c r="E40" s="342" t="s">
        <v>95</v>
      </c>
      <c r="F40" s="846"/>
      <c r="G40" s="847"/>
      <c r="H40" s="847"/>
      <c r="I40" s="847"/>
      <c r="J40" s="847"/>
      <c r="K40" s="847"/>
      <c r="L40" s="847"/>
      <c r="M40" s="847"/>
      <c r="N40" s="847"/>
      <c r="O40" s="847"/>
      <c r="P40" s="847"/>
      <c r="Q40" s="847"/>
      <c r="R40" s="847"/>
      <c r="S40" s="847"/>
      <c r="T40" s="847"/>
      <c r="U40" s="847"/>
      <c r="V40" s="847"/>
      <c r="W40" s="847"/>
      <c r="X40" s="847"/>
      <c r="Y40" s="847"/>
      <c r="Z40" s="847"/>
      <c r="AA40" s="848"/>
      <c r="AB40" s="768"/>
      <c r="AC40" s="769"/>
      <c r="AD40" s="770"/>
      <c r="AE40" s="137"/>
      <c r="AF40" s="689">
        <f>IF(OR(AB40="",Calc!F74=1),0,(AB40*TuitionRemission_GradAssistants_Y4)/IF(Calc!F74&lt;=5,1,2))</f>
        <v>0</v>
      </c>
      <c r="AG40" s="482"/>
      <c r="AH40" s="483"/>
      <c r="AI40" s="797">
        <f>IF(OR(Calc!D74=1,Calc!E74=1,Calc!F74=1),0,Calc!K74*AB40)</f>
        <v>0</v>
      </c>
      <c r="AJ40" s="799"/>
      <c r="AK40" s="799"/>
      <c r="AL40" s="798"/>
      <c r="AM40" s="806">
        <f>IF(AB40&gt;0,FringeRate_Y4_GradStudent,0)</f>
        <v>0</v>
      </c>
      <c r="AN40" s="807"/>
      <c r="AO40" s="797">
        <f t="shared" si="4"/>
        <v>0</v>
      </c>
      <c r="AP40" s="798"/>
      <c r="AQ40" s="797">
        <f t="shared" si="5"/>
        <v>0</v>
      </c>
      <c r="AR40" s="799"/>
      <c r="AS40" s="799"/>
      <c r="AT40" s="818"/>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151"/>
      <c r="AE42" s="302"/>
      <c r="AF42" s="595">
        <f>SUM(AF36:AH40)</f>
        <v>0</v>
      </c>
      <c r="AG42" s="595"/>
      <c r="AH42" s="595"/>
      <c r="AI42" s="528">
        <f>SUM(AI36:AL40)</f>
        <v>0</v>
      </c>
      <c r="AJ42" s="528"/>
      <c r="AK42" s="528"/>
      <c r="AL42" s="528"/>
      <c r="AM42" s="529"/>
      <c r="AN42" s="529"/>
      <c r="AO42" s="592">
        <f>SUM(AO36:AP40)</f>
        <v>0</v>
      </c>
      <c r="AP42" s="593"/>
      <c r="AQ42" s="592">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779">
        <f>U46/Var_PersonHoursPerMonth</f>
        <v>0</v>
      </c>
      <c r="AH46" s="780"/>
      <c r="AI46" s="520">
        <f>R46*U46</f>
        <v>0</v>
      </c>
      <c r="AJ46" s="521"/>
      <c r="AK46" s="521"/>
      <c r="AL46" s="521"/>
      <c r="AM46" s="828">
        <f>FringeRate_Y4_Student</f>
        <v>2.4E-2</v>
      </c>
      <c r="AN46" s="828"/>
      <c r="AO46" s="521">
        <f>AI46*AM46</f>
        <v>0</v>
      </c>
      <c r="AP46" s="521"/>
      <c r="AQ46" s="521">
        <f>AI46+AO46</f>
        <v>0</v>
      </c>
      <c r="AR46" s="521"/>
      <c r="AS46" s="521"/>
      <c r="AT46" s="524"/>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477"/>
      <c r="V47" s="477"/>
      <c r="W47" s="478"/>
      <c r="X47" s="137"/>
      <c r="Y47" s="137"/>
      <c r="Z47" s="137"/>
      <c r="AA47" s="137"/>
      <c r="AB47" s="137"/>
      <c r="AC47" s="137"/>
      <c r="AD47" s="137"/>
      <c r="AE47" s="137"/>
      <c r="AF47" s="137"/>
      <c r="AG47" s="781">
        <f>U47/Var_PersonHoursPerMonth</f>
        <v>0</v>
      </c>
      <c r="AH47" s="782"/>
      <c r="AI47" s="522">
        <f>R47*U47</f>
        <v>0</v>
      </c>
      <c r="AJ47" s="515"/>
      <c r="AK47" s="515"/>
      <c r="AL47" s="515"/>
      <c r="AM47" s="826">
        <f>FringeRate_Y4_Student</f>
        <v>2.4E-2</v>
      </c>
      <c r="AN47" s="826"/>
      <c r="AO47" s="515">
        <f>AI47*AM47</f>
        <v>0</v>
      </c>
      <c r="AP47" s="515"/>
      <c r="AQ47" s="515">
        <f>AI47+AO47</f>
        <v>0</v>
      </c>
      <c r="AR47" s="515"/>
      <c r="AS47" s="515"/>
      <c r="AT47" s="516"/>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477"/>
      <c r="V48" s="477"/>
      <c r="W48" s="478"/>
      <c r="X48" s="137"/>
      <c r="Y48" s="137"/>
      <c r="Z48" s="137"/>
      <c r="AA48" s="137"/>
      <c r="AB48" s="137"/>
      <c r="AC48" s="137"/>
      <c r="AD48" s="137"/>
      <c r="AE48" s="137"/>
      <c r="AF48" s="137"/>
      <c r="AG48" s="781">
        <f>U48/Var_PersonHoursPerMonth</f>
        <v>0</v>
      </c>
      <c r="AH48" s="782"/>
      <c r="AI48" s="522">
        <f>R48*U48</f>
        <v>0</v>
      </c>
      <c r="AJ48" s="515"/>
      <c r="AK48" s="515"/>
      <c r="AL48" s="515"/>
      <c r="AM48" s="826">
        <f>FringeRate_Y4_Student</f>
        <v>2.4E-2</v>
      </c>
      <c r="AN48" s="826"/>
      <c r="AO48" s="515">
        <f>AI48*AM48</f>
        <v>0</v>
      </c>
      <c r="AP48" s="515"/>
      <c r="AQ48" s="515">
        <f>AI48+AO48</f>
        <v>0</v>
      </c>
      <c r="AR48" s="515"/>
      <c r="AS48" s="515"/>
      <c r="AT48" s="516"/>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477"/>
      <c r="V49" s="477"/>
      <c r="W49" s="478"/>
      <c r="X49" s="137"/>
      <c r="Y49" s="137"/>
      <c r="Z49" s="137"/>
      <c r="AA49" s="137"/>
      <c r="AB49" s="137"/>
      <c r="AC49" s="137"/>
      <c r="AD49" s="137"/>
      <c r="AE49" s="137"/>
      <c r="AF49" s="137"/>
      <c r="AG49" s="781">
        <f>U49/Var_PersonHoursPerMonth</f>
        <v>0</v>
      </c>
      <c r="AH49" s="782"/>
      <c r="AI49" s="522">
        <f>R49*U49</f>
        <v>0</v>
      </c>
      <c r="AJ49" s="515"/>
      <c r="AK49" s="515"/>
      <c r="AL49" s="515"/>
      <c r="AM49" s="826">
        <f>FringeRate_Y4_Student</f>
        <v>2.4E-2</v>
      </c>
      <c r="AN49" s="826"/>
      <c r="AO49" s="515">
        <f>AI49*AM49</f>
        <v>0</v>
      </c>
      <c r="AP49" s="515"/>
      <c r="AQ49" s="515">
        <f>AI49+AO49</f>
        <v>0</v>
      </c>
      <c r="AR49" s="515"/>
      <c r="AS49" s="515"/>
      <c r="AT49" s="516"/>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88"/>
      <c r="V50" s="588"/>
      <c r="W50" s="589"/>
      <c r="X50" s="137"/>
      <c r="Y50" s="137"/>
      <c r="Z50" s="137"/>
      <c r="AA50" s="137"/>
      <c r="AB50" s="137"/>
      <c r="AC50" s="137"/>
      <c r="AD50" s="137"/>
      <c r="AE50" s="137"/>
      <c r="AF50" s="137"/>
      <c r="AG50" s="777">
        <f>U50/Var_PersonHoursPerMonth</f>
        <v>0</v>
      </c>
      <c r="AH50" s="778"/>
      <c r="AI50" s="591">
        <f>R50*U50</f>
        <v>0</v>
      </c>
      <c r="AJ50" s="575"/>
      <c r="AK50" s="575"/>
      <c r="AL50" s="575"/>
      <c r="AM50" s="831">
        <f>FringeRate_Y4_Student</f>
        <v>2.4E-2</v>
      </c>
      <c r="AN50" s="831"/>
      <c r="AO50" s="575">
        <f>AI50*AM50</f>
        <v>0</v>
      </c>
      <c r="AP50" s="575"/>
      <c r="AQ50" s="575">
        <f>AI50+AO50</f>
        <v>0</v>
      </c>
      <c r="AR50" s="575"/>
      <c r="AS50" s="575"/>
      <c r="AT50" s="57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833">
        <f>SUM(AI46:AL50)</f>
        <v>0</v>
      </c>
      <c r="AJ52" s="833"/>
      <c r="AK52" s="833"/>
      <c r="AL52" s="833"/>
      <c r="AM52" s="711"/>
      <c r="AN52" s="711"/>
      <c r="AO52" s="833">
        <f>SUM(AO46:AP50)</f>
        <v>0</v>
      </c>
      <c r="AP52" s="833"/>
      <c r="AQ52" s="833">
        <f>SUM(AQ46:AT50)</f>
        <v>0</v>
      </c>
      <c r="AR52" s="833"/>
      <c r="AS52" s="833"/>
      <c r="AT52" s="83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834">
        <f>SUM(AK56:AN65)</f>
        <v>0</v>
      </c>
      <c r="AQ66" s="835"/>
      <c r="AR66" s="835"/>
      <c r="AS66" s="835"/>
      <c r="AT66" s="836"/>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58"/>
      <c r="AL79" s="458"/>
      <c r="AM79" s="458"/>
      <c r="AN79" s="459"/>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58"/>
      <c r="AL80" s="458"/>
      <c r="AM80" s="458"/>
      <c r="AN80" s="459"/>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58"/>
      <c r="AL81" s="458"/>
      <c r="AM81" s="458"/>
      <c r="AN81" s="459"/>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58"/>
      <c r="AL82" s="458"/>
      <c r="AM82" s="458"/>
      <c r="AN82" s="459"/>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58"/>
      <c r="AL83" s="458"/>
      <c r="AM83" s="458"/>
      <c r="AN83" s="459"/>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58"/>
      <c r="AL84" s="458"/>
      <c r="AM84" s="458"/>
      <c r="AN84" s="459"/>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62"/>
      <c r="AL85" s="462"/>
      <c r="AM85" s="462"/>
      <c r="AN85" s="463"/>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834">
        <f>SUM(AK69:AN76)</f>
        <v>0</v>
      </c>
      <c r="AQ86" s="835"/>
      <c r="AR86" s="835"/>
      <c r="AS86" s="835"/>
      <c r="AT86" s="836"/>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834">
        <f>SUM(AK78:AN85)</f>
        <v>0</v>
      </c>
      <c r="AQ87" s="835"/>
      <c r="AR87" s="835"/>
      <c r="AS87" s="835"/>
      <c r="AT87" s="836"/>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834">
        <f>SUM(AK90:AN99)</f>
        <v>0</v>
      </c>
      <c r="AQ100" s="835"/>
      <c r="AR100" s="835"/>
      <c r="AS100" s="835"/>
      <c r="AT100" s="836"/>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10" t="s">
        <v>171</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t="s">
        <v>217</v>
      </c>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548">
        <f>'Budget Period 1'!F103</f>
        <v>0</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21">
        <f>Data_Subaward_Y1_1+Data_Subaward_Y2_1+Data_Subaward_Y3_1+Data_Subaward_Y4_1</f>
        <v>0</v>
      </c>
      <c r="AH103" s="521"/>
      <c r="AI103" s="521"/>
      <c r="AJ103" s="521"/>
      <c r="AK103" s="487"/>
      <c r="AL103" s="487"/>
      <c r="AM103" s="487"/>
      <c r="AN103" s="488"/>
      <c r="AO103" s="137"/>
      <c r="AP103" s="137"/>
      <c r="AQ103" s="137"/>
      <c r="AR103" s="137"/>
      <c r="AS103" s="137"/>
      <c r="AT103" s="137"/>
      <c r="AU103" s="137"/>
      <c r="AV103" s="10"/>
    </row>
    <row r="104" spans="2:48" x14ac:dyDescent="0.2">
      <c r="B104" s="10"/>
      <c r="C104" s="137"/>
      <c r="D104" s="137"/>
      <c r="E104" s="149" t="s">
        <v>92</v>
      </c>
      <c r="F104" s="546">
        <f>'Budget Period 1'!F104</f>
        <v>0</v>
      </c>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15">
        <f>Data_Subaward_Y1_2+Data_Subaward_Y2_2+Data_Subaward_Y3_2+Data_Subaward_Y4_2</f>
        <v>0</v>
      </c>
      <c r="AH104" s="515"/>
      <c r="AI104" s="515"/>
      <c r="AJ104" s="515"/>
      <c r="AK104" s="458"/>
      <c r="AL104" s="458"/>
      <c r="AM104" s="458"/>
      <c r="AN104" s="459"/>
      <c r="AO104" s="137"/>
      <c r="AP104" s="137"/>
      <c r="AQ104" s="137"/>
      <c r="AR104" s="137"/>
      <c r="AS104" s="137"/>
      <c r="AT104" s="137"/>
      <c r="AU104" s="137"/>
      <c r="AV104" s="10"/>
    </row>
    <row r="105" spans="2:48" x14ac:dyDescent="0.2">
      <c r="B105" s="10"/>
      <c r="C105" s="137"/>
      <c r="D105" s="137"/>
      <c r="E105" s="149" t="s">
        <v>93</v>
      </c>
      <c r="F105" s="546">
        <f>'Budget Period 1'!F105</f>
        <v>0</v>
      </c>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15">
        <f>Data_Subaward_Y1_3+Data_Subaward_Y2_3+Data_Subaward_Y3_3+Data_Subaward_Y4_3</f>
        <v>0</v>
      </c>
      <c r="AH105" s="515"/>
      <c r="AI105" s="515"/>
      <c r="AJ105" s="515"/>
      <c r="AK105" s="458"/>
      <c r="AL105" s="458"/>
      <c r="AM105" s="458"/>
      <c r="AN105" s="459"/>
      <c r="AO105" s="137"/>
      <c r="AP105" s="137"/>
      <c r="AQ105" s="137"/>
      <c r="AR105" s="137"/>
      <c r="AS105" s="137"/>
      <c r="AT105" s="137"/>
      <c r="AU105" s="137"/>
      <c r="AV105" s="10"/>
    </row>
    <row r="106" spans="2:48" x14ac:dyDescent="0.2">
      <c r="B106" s="10"/>
      <c r="C106" s="137"/>
      <c r="D106" s="137"/>
      <c r="E106" s="149" t="s">
        <v>94</v>
      </c>
      <c r="F106" s="546">
        <f>'Budget Period 1'!F106</f>
        <v>0</v>
      </c>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15">
        <f>Data_Subaward_Y1_4+Data_Subaward_Y2_4+Data_Subaward_Y3_4+Data_Subaward_Y4_4</f>
        <v>0</v>
      </c>
      <c r="AH106" s="515"/>
      <c r="AI106" s="515"/>
      <c r="AJ106" s="515"/>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757">
        <f>'Budget Period 1'!F107</f>
        <v>0</v>
      </c>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575">
        <f>Data_Subaward_Y1_5+Data_Subaward_Y2_5+Data_Subaward_Y3_5+Data_Subaward_Y4_5</f>
        <v>0</v>
      </c>
      <c r="AH107" s="575"/>
      <c r="AI107" s="575"/>
      <c r="AJ107" s="575"/>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93">
        <f>'Budget Period 1'!F109</f>
        <v>0</v>
      </c>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389"/>
      <c r="AK109" s="487"/>
      <c r="AL109" s="487"/>
      <c r="AM109" s="487"/>
      <c r="AN109" s="488"/>
      <c r="AO109" s="137"/>
      <c r="AP109" s="137"/>
      <c r="AQ109" s="137"/>
      <c r="AR109" s="137"/>
      <c r="AS109" s="137"/>
      <c r="AT109" s="137"/>
      <c r="AU109" s="137"/>
      <c r="AV109" s="10"/>
    </row>
    <row r="110" spans="2:48" x14ac:dyDescent="0.2">
      <c r="B110" s="10"/>
      <c r="C110" s="137"/>
      <c r="D110" s="137"/>
      <c r="E110" s="149" t="s">
        <v>92</v>
      </c>
      <c r="F110" s="495">
        <f>'Budget Period 1'!F110</f>
        <v>0</v>
      </c>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7"/>
      <c r="AK110" s="458"/>
      <c r="AL110" s="458"/>
      <c r="AM110" s="458"/>
      <c r="AN110" s="459"/>
      <c r="AO110" s="137"/>
      <c r="AP110" s="137"/>
      <c r="AQ110" s="137"/>
      <c r="AR110" s="137"/>
      <c r="AS110" s="137"/>
      <c r="AT110" s="137"/>
      <c r="AU110" s="137"/>
      <c r="AV110" s="10"/>
    </row>
    <row r="111" spans="2:48" x14ac:dyDescent="0.2">
      <c r="B111" s="10"/>
      <c r="C111" s="137"/>
      <c r="D111" s="137"/>
      <c r="E111" s="149" t="s">
        <v>93</v>
      </c>
      <c r="F111" s="495">
        <f>'Budget Period 1'!F111</f>
        <v>0</v>
      </c>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7"/>
      <c r="AK111" s="458"/>
      <c r="AL111" s="458"/>
      <c r="AM111" s="458"/>
      <c r="AN111" s="459"/>
      <c r="AO111" s="137"/>
      <c r="AP111" s="137"/>
      <c r="AQ111" s="137"/>
      <c r="AR111" s="137"/>
      <c r="AS111" s="137"/>
      <c r="AT111" s="137"/>
      <c r="AU111" s="137"/>
      <c r="AV111" s="10"/>
    </row>
    <row r="112" spans="2:48" x14ac:dyDescent="0.2">
      <c r="B112" s="10"/>
      <c r="C112" s="137"/>
      <c r="D112" s="137"/>
      <c r="E112" s="149" t="s">
        <v>94</v>
      </c>
      <c r="F112" s="495">
        <f>'Budget Period 1'!F112</f>
        <v>0</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7"/>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759">
        <f>'Budget Period 1'!F113</f>
        <v>0</v>
      </c>
      <c r="G113" s="760"/>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391"/>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834">
        <f>SUM(AK103:AN107,AK109:AN113)</f>
        <v>0</v>
      </c>
      <c r="AQ114" s="835"/>
      <c r="AR114" s="835"/>
      <c r="AS114" s="835"/>
      <c r="AT114" s="836"/>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54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844">
        <f>Result_Tuition_Y4</f>
        <v>0</v>
      </c>
      <c r="AL125" s="844"/>
      <c r="AM125" s="844"/>
      <c r="AN125" s="845"/>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834">
        <f>SUM(AK117:AN129)</f>
        <v>0</v>
      </c>
      <c r="AQ130" s="835"/>
      <c r="AR130" s="835"/>
      <c r="AS130" s="835"/>
      <c r="AT130" s="836"/>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841">
        <f>SUM(AI32,AI42,AI52)</f>
        <v>0</v>
      </c>
      <c r="P134" s="842"/>
      <c r="Q134" s="842"/>
      <c r="R134" s="843"/>
      <c r="S134" s="137"/>
      <c r="T134" s="841">
        <f>SUM(AO32,AO42,AO52)</f>
        <v>0</v>
      </c>
      <c r="U134" s="842"/>
      <c r="V134" s="842"/>
      <c r="W134" s="843"/>
      <c r="X134" s="137"/>
      <c r="Y134" s="137"/>
      <c r="Z134" s="137"/>
      <c r="AA134" s="137"/>
      <c r="AB134" s="137"/>
      <c r="AC134" s="137"/>
      <c r="AD134" s="137"/>
      <c r="AE134" s="137"/>
      <c r="AF134" s="137"/>
      <c r="AG134" s="137"/>
      <c r="AH134" s="137"/>
      <c r="AI134" s="137"/>
      <c r="AJ134" s="137"/>
      <c r="AK134" s="137"/>
      <c r="AL134" s="137"/>
      <c r="AM134" s="137"/>
      <c r="AN134" s="137"/>
      <c r="AO134" s="137"/>
      <c r="AP134" s="834">
        <f>SUM(O134,T134)</f>
        <v>0</v>
      </c>
      <c r="AQ134" s="835"/>
      <c r="AR134" s="835"/>
      <c r="AS134" s="835"/>
      <c r="AT134" s="836"/>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837">
        <f>Result_EquipmentCost_Y4</f>
        <v>0</v>
      </c>
      <c r="P137" s="838"/>
      <c r="Q137" s="838"/>
      <c r="R137" s="839"/>
      <c r="S137" s="137"/>
      <c r="T137" s="837">
        <f>SUM(Result_TravelDomestic_Y4,Result_TravelForeign_Y4)</f>
        <v>0</v>
      </c>
      <c r="U137" s="838"/>
      <c r="V137" s="838"/>
      <c r="W137" s="839"/>
      <c r="X137" s="137"/>
      <c r="Y137" s="837">
        <f>Result_ParticipantCosts_Y4</f>
        <v>0</v>
      </c>
      <c r="Z137" s="838"/>
      <c r="AA137" s="838"/>
      <c r="AB137" s="839"/>
      <c r="AC137" s="137"/>
      <c r="AD137" s="837">
        <f>Result_SubawardCosts_Y4</f>
        <v>0</v>
      </c>
      <c r="AE137" s="838"/>
      <c r="AF137" s="838"/>
      <c r="AG137" s="839"/>
      <c r="AH137" s="137"/>
      <c r="AI137" s="837">
        <f>Result_OtherDirectCosts_Y4</f>
        <v>0</v>
      </c>
      <c r="AJ137" s="838"/>
      <c r="AK137" s="838"/>
      <c r="AL137" s="839"/>
      <c r="AM137" s="137"/>
      <c r="AN137" s="137"/>
      <c r="AO137" s="137"/>
      <c r="AP137" s="834">
        <f>SUM(O137,T137,Y137,AD137,AI137)</f>
        <v>0</v>
      </c>
      <c r="AQ137" s="835"/>
      <c r="AR137" s="835"/>
      <c r="AS137" s="835"/>
      <c r="AT137" s="836"/>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834">
        <f>SUM(Result_PersonnelCosts_Y4,Result_EquipmentCost_Y4,Result_TravelTotal_Y4,Result_ParticipantCosts_Y4,Result_SubawardCosts_Y4,Result_OtherDirectCosts_Y4)</f>
        <v>0</v>
      </c>
      <c r="AQ139" s="835"/>
      <c r="AR139" s="835"/>
      <c r="AS139" s="835"/>
      <c r="AT139" s="836"/>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840">
        <f>Result_TotalDirectCosts_Y4-Result_SubawardCosts_UW_Y4-IF(Data_Exclude_SalariesWages,Result_SalariesWages_Y4,0)-IF(Data_Exclude_Fringes,Result_FringeBenefits_Y4,0)-IF(Data_Exclude_Tuition,Result_TuitionTOTAL_Y4,0)-IF(Data_Exclude_Equipment,Result_EquipmentCost_Y4,0)-IF(Data_Exclude_Travel,Result_TravelTotal_Y4,0)-IF(Data_Exclude_ParticipantCosts,Result_ParticipantCosts_Y4,0)-IF(Data_Exclude_NonUWSubawards,Result_SubawardCosts_NonUW_Y4,IF(Data_Exclude_NonUWSubawardsExceeding25K,Result_SubawardCosts_NonUW_Y4-Result_SubawardBase_Y4_TOTAL,0))-IF(Data_Exclude_OtherCosts,Result_OtherDirectCosts_Y4-Result_TuitionTOTAL_Y4,0)</f>
        <v>0</v>
      </c>
      <c r="AQ140" s="840"/>
      <c r="AR140" s="840"/>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834">
        <f>CHOOSE('Drop-Down_Options'!E14,0,Result_TotalDirectCosts_Y4 - Result_SubawardCosts_UW_Y4,(Result_TotalDirectCosts_Y4-Result_EquipmentCost_Y4-Result_ParticipantCosts_Y4-Result_TuitionTOTAL_Y4-(Result_SubawardCosts_Y4-Result_SubawardBase_Y4_TOTAL)),AP140)</f>
        <v>0</v>
      </c>
      <c r="AQ141" s="835"/>
      <c r="AR141" s="835"/>
      <c r="AS141" s="835"/>
      <c r="AT141" s="836"/>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834">
        <f>AP141*FA_Rate_Y4</f>
        <v>0</v>
      </c>
      <c r="AQ143" s="835"/>
      <c r="AR143" s="835"/>
      <c r="AS143" s="835"/>
      <c r="AT143" s="836"/>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339</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834">
        <f>SUM(Result_TotalDirectCosts_Y4,Result_IndirectCosts_Y4)</f>
        <v>0</v>
      </c>
      <c r="AQ145" s="835"/>
      <c r="AR145" s="835"/>
      <c r="AS145" s="835"/>
      <c r="AT145" s="836"/>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AB150" s="22"/>
    </row>
    <row r="151" spans="2:48" ht="12.75" customHeight="1" x14ac:dyDescent="0.4">
      <c r="U151" s="22"/>
    </row>
  </sheetData>
  <sheetProtection algorithmName="SHA-512" hashValue="MYqw0Z3vEO5NikOppusB7Xe2aYCJRR5z0K9L3LvHefZIwsp8jt98ZbglYEgTN+mmz2gCIphISeVui0QpH81Bbw==" saltValue="1tf2kqzAzgkQ9+9JP/5k/g==" spinCount="100000" sheet="1" selectLockedCells="1"/>
  <mergeCells count="515">
    <mergeCell ref="AB36:AD36"/>
    <mergeCell ref="AB37:AD37"/>
    <mergeCell ref="AB38:AD38"/>
    <mergeCell ref="AB39:AD39"/>
    <mergeCell ref="AB40:AD40"/>
    <mergeCell ref="R8:AT9"/>
    <mergeCell ref="AM10:AN10"/>
    <mergeCell ref="AO10:AP10"/>
    <mergeCell ref="AD13:AF13"/>
    <mergeCell ref="AG13:AH13"/>
    <mergeCell ref="AI13:AL13"/>
    <mergeCell ref="AB12:AC12"/>
    <mergeCell ref="AD12:AF12"/>
    <mergeCell ref="AG12:AH12"/>
    <mergeCell ref="AI12:AL12"/>
    <mergeCell ref="AG11:AH11"/>
    <mergeCell ref="AI11:AL11"/>
    <mergeCell ref="AM13:AN13"/>
    <mergeCell ref="AO13:AP13"/>
    <mergeCell ref="O14:T14"/>
    <mergeCell ref="U14:X14"/>
    <mergeCell ref="AB14:AC14"/>
    <mergeCell ref="AD14:AF14"/>
    <mergeCell ref="AG14:AH14"/>
    <mergeCell ref="F11:K11"/>
    <mergeCell ref="L11:N11"/>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M11:AN11"/>
    <mergeCell ref="AO11:AP11"/>
    <mergeCell ref="AI14:AL14"/>
    <mergeCell ref="AM14:AN14"/>
    <mergeCell ref="AQ12:AT12"/>
    <mergeCell ref="F13:K13"/>
    <mergeCell ref="L13:N13"/>
    <mergeCell ref="O13:T13"/>
    <mergeCell ref="U13:X13"/>
    <mergeCell ref="AB13:AC13"/>
    <mergeCell ref="F12:K12"/>
    <mergeCell ref="L12:N12"/>
    <mergeCell ref="O12:T12"/>
    <mergeCell ref="U12:X12"/>
    <mergeCell ref="AQ13:AT13"/>
    <mergeCell ref="AO17:AP17"/>
    <mergeCell ref="AO14:AP14"/>
    <mergeCell ref="AQ14:AT14"/>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F14:K14"/>
    <mergeCell ref="L14:N14"/>
    <mergeCell ref="AD21:AF21"/>
    <mergeCell ref="AG21:AH21"/>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I21:AL21"/>
    <mergeCell ref="AM21:AN21"/>
    <mergeCell ref="AO21:AP21"/>
    <mergeCell ref="AG20:AH20"/>
    <mergeCell ref="AI20:AL20"/>
    <mergeCell ref="AM20:AN20"/>
    <mergeCell ref="AO20:AP20"/>
    <mergeCell ref="F24:K24"/>
    <mergeCell ref="L24:N24"/>
    <mergeCell ref="O24:T24"/>
    <mergeCell ref="U24:X24"/>
    <mergeCell ref="AM22:AN22"/>
    <mergeCell ref="AO22:AP22"/>
    <mergeCell ref="AB24:AC24"/>
    <mergeCell ref="AD24:AF24"/>
    <mergeCell ref="AG24:AH24"/>
    <mergeCell ref="AI24:AL24"/>
    <mergeCell ref="AM24:AN24"/>
    <mergeCell ref="AO24:AP24"/>
    <mergeCell ref="F21:K21"/>
    <mergeCell ref="L21:N21"/>
    <mergeCell ref="O21:T21"/>
    <mergeCell ref="U21:X21"/>
    <mergeCell ref="AB21:AC21"/>
    <mergeCell ref="AQ22:AT22"/>
    <mergeCell ref="F23:K23"/>
    <mergeCell ref="L23:N23"/>
    <mergeCell ref="O23:T23"/>
    <mergeCell ref="U23:X23"/>
    <mergeCell ref="AB23:AC23"/>
    <mergeCell ref="AD23:AF23"/>
    <mergeCell ref="F22:K22"/>
    <mergeCell ref="L22:N22"/>
    <mergeCell ref="O22:T22"/>
    <mergeCell ref="U22:X22"/>
    <mergeCell ref="AB22:AC22"/>
    <mergeCell ref="AD22:AF22"/>
    <mergeCell ref="AG22:AH22"/>
    <mergeCell ref="AI22:AL22"/>
    <mergeCell ref="AG23:AH23"/>
    <mergeCell ref="AI23:AL23"/>
    <mergeCell ref="AM23:AN23"/>
    <mergeCell ref="AO23:AP23"/>
    <mergeCell ref="AM25:AN25"/>
    <mergeCell ref="AO25:AP25"/>
    <mergeCell ref="AO27:AP27"/>
    <mergeCell ref="AG26:AH26"/>
    <mergeCell ref="AI26:AL26"/>
    <mergeCell ref="AM26:AN26"/>
    <mergeCell ref="AQ25:AT25"/>
    <mergeCell ref="F26:K26"/>
    <mergeCell ref="L26:N26"/>
    <mergeCell ref="O26:T26"/>
    <mergeCell ref="U26:X26"/>
    <mergeCell ref="AB26:AC26"/>
    <mergeCell ref="AD26:AF26"/>
    <mergeCell ref="AO26:AP26"/>
    <mergeCell ref="AQ26:AT26"/>
    <mergeCell ref="F25:K25"/>
    <mergeCell ref="L25:N25"/>
    <mergeCell ref="O25:T25"/>
    <mergeCell ref="U25:X25"/>
    <mergeCell ref="AB25:AC25"/>
    <mergeCell ref="AD25:AF25"/>
    <mergeCell ref="AG25:AH25"/>
    <mergeCell ref="AI25:AL25"/>
    <mergeCell ref="AB27:AC27"/>
    <mergeCell ref="AB35:AD35"/>
    <mergeCell ref="AD27:AF27"/>
    <mergeCell ref="AG27:AH27"/>
    <mergeCell ref="AI27:AL27"/>
    <mergeCell ref="AM27:AN27"/>
    <mergeCell ref="F27:K27"/>
    <mergeCell ref="L27:N27"/>
    <mergeCell ref="O27:T27"/>
    <mergeCell ref="U27:X27"/>
    <mergeCell ref="AM28:AN28"/>
    <mergeCell ref="AO28:AP28"/>
    <mergeCell ref="AQ28:AT28"/>
    <mergeCell ref="F29:K29"/>
    <mergeCell ref="L29:N29"/>
    <mergeCell ref="O29:T29"/>
    <mergeCell ref="U29:X29"/>
    <mergeCell ref="AB29:AC29"/>
    <mergeCell ref="AD29:AF29"/>
    <mergeCell ref="AG29:AH29"/>
    <mergeCell ref="F28:K28"/>
    <mergeCell ref="L28:N28"/>
    <mergeCell ref="O28:T28"/>
    <mergeCell ref="U28:X28"/>
    <mergeCell ref="AB28:AC28"/>
    <mergeCell ref="AD28:AF28"/>
    <mergeCell ref="AG28:AH28"/>
    <mergeCell ref="AI28:AL28"/>
    <mergeCell ref="V5:AF5"/>
    <mergeCell ref="AI35:AL35"/>
    <mergeCell ref="AM35:AN35"/>
    <mergeCell ref="AO35:AP35"/>
    <mergeCell ref="AF36:AH36"/>
    <mergeCell ref="AF35:AH35"/>
    <mergeCell ref="F35:AA35"/>
    <mergeCell ref="AG30:AH30"/>
    <mergeCell ref="AI30:AL30"/>
    <mergeCell ref="AM30:AN30"/>
    <mergeCell ref="F30:K30"/>
    <mergeCell ref="L30:N30"/>
    <mergeCell ref="O30:T30"/>
    <mergeCell ref="U30:X30"/>
    <mergeCell ref="AO30:AP30"/>
    <mergeCell ref="AI32:AL32"/>
    <mergeCell ref="AO32:AP32"/>
    <mergeCell ref="AI29:AL29"/>
    <mergeCell ref="AM29:AN29"/>
    <mergeCell ref="AO29:AP29"/>
    <mergeCell ref="AB30:AC30"/>
    <mergeCell ref="AD30:AF30"/>
    <mergeCell ref="AM36:AN36"/>
    <mergeCell ref="AI36:AL36"/>
    <mergeCell ref="F45:Q45"/>
    <mergeCell ref="R45:T45"/>
    <mergeCell ref="U45:W45"/>
    <mergeCell ref="AG45:AH45"/>
    <mergeCell ref="AI45:AL45"/>
    <mergeCell ref="AM45:AN45"/>
    <mergeCell ref="AO45:AP45"/>
    <mergeCell ref="AQ45:AT45"/>
    <mergeCell ref="AF42:AH42"/>
    <mergeCell ref="AI42:AL42"/>
    <mergeCell ref="AM42:AN42"/>
    <mergeCell ref="AO42:AP42"/>
    <mergeCell ref="F47:Q47"/>
    <mergeCell ref="R47:T47"/>
    <mergeCell ref="U47:W47"/>
    <mergeCell ref="AG47:AH47"/>
    <mergeCell ref="AI47:AL47"/>
    <mergeCell ref="AM47:AN47"/>
    <mergeCell ref="F48:Q48"/>
    <mergeCell ref="R48:T48"/>
    <mergeCell ref="F46:Q46"/>
    <mergeCell ref="R46:T46"/>
    <mergeCell ref="U46:W46"/>
    <mergeCell ref="AG46:AH46"/>
    <mergeCell ref="AI46:AL46"/>
    <mergeCell ref="AM46:AN46"/>
    <mergeCell ref="F49:Q49"/>
    <mergeCell ref="R49:T49"/>
    <mergeCell ref="U49:W49"/>
    <mergeCell ref="AG49:AH49"/>
    <mergeCell ref="F55:AJ55"/>
    <mergeCell ref="AI49:AL49"/>
    <mergeCell ref="AM49:AN49"/>
    <mergeCell ref="U48:W48"/>
    <mergeCell ref="AG48:AH48"/>
    <mergeCell ref="AI48:AL48"/>
    <mergeCell ref="AM48:AN48"/>
    <mergeCell ref="AK55:AN55"/>
    <mergeCell ref="F56:AJ56"/>
    <mergeCell ref="AK56:AN56"/>
    <mergeCell ref="F57:AJ57"/>
    <mergeCell ref="AK57:AN57"/>
    <mergeCell ref="AI50:AL50"/>
    <mergeCell ref="AM50:AN50"/>
    <mergeCell ref="AI52:AL52"/>
    <mergeCell ref="AM52:AN52"/>
    <mergeCell ref="F50:Q50"/>
    <mergeCell ref="R50:T50"/>
    <mergeCell ref="U50:W50"/>
    <mergeCell ref="AG50:AH50"/>
    <mergeCell ref="F61:AJ61"/>
    <mergeCell ref="AK61:AN61"/>
    <mergeCell ref="F62:AJ62"/>
    <mergeCell ref="AK62:AN62"/>
    <mergeCell ref="F63:AJ63"/>
    <mergeCell ref="AK63:AN63"/>
    <mergeCell ref="F58:AJ58"/>
    <mergeCell ref="AK58:AN58"/>
    <mergeCell ref="F59:AJ59"/>
    <mergeCell ref="AK59:AN59"/>
    <mergeCell ref="F60:AJ60"/>
    <mergeCell ref="AK60:AN60"/>
    <mergeCell ref="F69:AJ69"/>
    <mergeCell ref="AK69:AN69"/>
    <mergeCell ref="F70:AJ70"/>
    <mergeCell ref="AK70:AN70"/>
    <mergeCell ref="F71:AJ71"/>
    <mergeCell ref="AK71:AN71"/>
    <mergeCell ref="F64:AJ64"/>
    <mergeCell ref="AK64:AN64"/>
    <mergeCell ref="F65:AJ65"/>
    <mergeCell ref="AK65:AN65"/>
    <mergeCell ref="F68:AJ68"/>
    <mergeCell ref="AK68:AN68"/>
    <mergeCell ref="F75:AJ75"/>
    <mergeCell ref="AK75:AN75"/>
    <mergeCell ref="F76:AJ76"/>
    <mergeCell ref="AK76:AN76"/>
    <mergeCell ref="F77:AJ77"/>
    <mergeCell ref="AK77:AN77"/>
    <mergeCell ref="F72:AJ72"/>
    <mergeCell ref="AK72:AN72"/>
    <mergeCell ref="F73:AJ73"/>
    <mergeCell ref="AK73:AN73"/>
    <mergeCell ref="F74:AJ74"/>
    <mergeCell ref="AK74:AN74"/>
    <mergeCell ref="F81:AJ81"/>
    <mergeCell ref="AK81:AN81"/>
    <mergeCell ref="F82:AJ82"/>
    <mergeCell ref="AK82:AN82"/>
    <mergeCell ref="F83:AJ83"/>
    <mergeCell ref="AK83:AN83"/>
    <mergeCell ref="F78:AJ78"/>
    <mergeCell ref="AK78:AN78"/>
    <mergeCell ref="F79:AJ79"/>
    <mergeCell ref="AK79:AN79"/>
    <mergeCell ref="F80:AJ80"/>
    <mergeCell ref="AK80:AN80"/>
    <mergeCell ref="F89:AJ89"/>
    <mergeCell ref="AK89:AN89"/>
    <mergeCell ref="AK90:AN90"/>
    <mergeCell ref="AK91:AN91"/>
    <mergeCell ref="F90:L90"/>
    <mergeCell ref="F91:L91"/>
    <mergeCell ref="M90:AJ90"/>
    <mergeCell ref="M91:AJ91"/>
    <mergeCell ref="F84:AJ84"/>
    <mergeCell ref="AK84:AN84"/>
    <mergeCell ref="F85:AJ85"/>
    <mergeCell ref="AK85:AN85"/>
    <mergeCell ref="AK98:AN98"/>
    <mergeCell ref="AK99:AN99"/>
    <mergeCell ref="AP100:AT100"/>
    <mergeCell ref="F102:AF102"/>
    <mergeCell ref="AG102:AJ102"/>
    <mergeCell ref="AK102:AN102"/>
    <mergeCell ref="AK95:AN95"/>
    <mergeCell ref="AK96:AN96"/>
    <mergeCell ref="AK97:AN97"/>
    <mergeCell ref="F92:L99"/>
    <mergeCell ref="M93:AJ93"/>
    <mergeCell ref="M94:AJ94"/>
    <mergeCell ref="M95:AJ95"/>
    <mergeCell ref="M96:AJ96"/>
    <mergeCell ref="M97:AJ97"/>
    <mergeCell ref="M98:AJ98"/>
    <mergeCell ref="M99:AJ99"/>
    <mergeCell ref="AK92:AN92"/>
    <mergeCell ref="AK93:AN93"/>
    <mergeCell ref="AK94:AN94"/>
    <mergeCell ref="M92:AJ92"/>
    <mergeCell ref="F105:AF105"/>
    <mergeCell ref="AG105:AJ105"/>
    <mergeCell ref="AK105:AN105"/>
    <mergeCell ref="F106:AF106"/>
    <mergeCell ref="AG106:AJ106"/>
    <mergeCell ref="AK106:AN106"/>
    <mergeCell ref="F103:AF103"/>
    <mergeCell ref="AG103:AJ103"/>
    <mergeCell ref="AK103:AN103"/>
    <mergeCell ref="F104:AF104"/>
    <mergeCell ref="AG104:AJ104"/>
    <mergeCell ref="AK104:AN104"/>
    <mergeCell ref="F110:AJ110"/>
    <mergeCell ref="AK110:AN110"/>
    <mergeCell ref="F111:AJ111"/>
    <mergeCell ref="AK111:AN111"/>
    <mergeCell ref="F112:AJ112"/>
    <mergeCell ref="AK112:AN112"/>
    <mergeCell ref="F107:AF107"/>
    <mergeCell ref="AG107:AJ107"/>
    <mergeCell ref="AK107:AN107"/>
    <mergeCell ref="F108:AJ108"/>
    <mergeCell ref="AK108:AN108"/>
    <mergeCell ref="F109:AJ109"/>
    <mergeCell ref="AK109:AN109"/>
    <mergeCell ref="F118:L118"/>
    <mergeCell ref="M118:AJ118"/>
    <mergeCell ref="AK118:AN118"/>
    <mergeCell ref="M119:AJ119"/>
    <mergeCell ref="AK119:AN119"/>
    <mergeCell ref="F113:AJ113"/>
    <mergeCell ref="AK113:AN113"/>
    <mergeCell ref="AP114:AT114"/>
    <mergeCell ref="F116:AJ116"/>
    <mergeCell ref="AK116:AN116"/>
    <mergeCell ref="F117:L117"/>
    <mergeCell ref="M117:AJ117"/>
    <mergeCell ref="AK117:AN117"/>
    <mergeCell ref="AP145:AT145"/>
    <mergeCell ref="AO49:AP49"/>
    <mergeCell ref="AQ49:AT49"/>
    <mergeCell ref="AO50:AP50"/>
    <mergeCell ref="AQ50:AT5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5:AJ125"/>
    <mergeCell ref="AK125:AN125"/>
    <mergeCell ref="AP141:AT141"/>
    <mergeCell ref="AP143:AT143"/>
    <mergeCell ref="AP137:AT137"/>
    <mergeCell ref="AP134:AT134"/>
    <mergeCell ref="AP130:AT130"/>
    <mergeCell ref="AO46:AP46"/>
    <mergeCell ref="AQ46:AT46"/>
    <mergeCell ref="AO47:AP47"/>
    <mergeCell ref="AQ47:AT47"/>
    <mergeCell ref="AP86:AT86"/>
    <mergeCell ref="AP87:AT87"/>
    <mergeCell ref="AP66:AT66"/>
    <mergeCell ref="AO52:AP52"/>
    <mergeCell ref="AQ52:AT52"/>
    <mergeCell ref="AO48:AP48"/>
    <mergeCell ref="AQ48:AT48"/>
    <mergeCell ref="F36:AA36"/>
    <mergeCell ref="F37:AA37"/>
    <mergeCell ref="AR3:AU3"/>
    <mergeCell ref="AP139:AT139"/>
    <mergeCell ref="AP140:AR140"/>
    <mergeCell ref="AQ35:AT35"/>
    <mergeCell ref="AQ42:AT42"/>
    <mergeCell ref="AQ30:AT30"/>
    <mergeCell ref="AQ32:AT32"/>
    <mergeCell ref="AQ29:AT29"/>
    <mergeCell ref="AQ27:AT27"/>
    <mergeCell ref="AQ24:AT24"/>
    <mergeCell ref="AQ23:AT23"/>
    <mergeCell ref="AQ21:AT21"/>
    <mergeCell ref="AQ20:AT20"/>
    <mergeCell ref="AQ18:AT18"/>
    <mergeCell ref="AQ17:AT17"/>
    <mergeCell ref="M127:AJ127"/>
    <mergeCell ref="F125:L125"/>
    <mergeCell ref="AM37:AN37"/>
    <mergeCell ref="AM38:AN38"/>
    <mergeCell ref="AM39:AN39"/>
    <mergeCell ref="AM40:AN40"/>
    <mergeCell ref="F126:L126"/>
    <mergeCell ref="AI37:AL37"/>
    <mergeCell ref="AI38:AL38"/>
    <mergeCell ref="AI39:AL39"/>
    <mergeCell ref="AF37:AH37"/>
    <mergeCell ref="AF38:AH38"/>
    <mergeCell ref="AF39:AH39"/>
    <mergeCell ref="AF40:AH40"/>
    <mergeCell ref="AI40:AL40"/>
    <mergeCell ref="F39:AA39"/>
    <mergeCell ref="F40:AA40"/>
    <mergeCell ref="F38:AA38"/>
    <mergeCell ref="AQ36:AT36"/>
    <mergeCell ref="AQ37:AT37"/>
    <mergeCell ref="AQ38:AT38"/>
    <mergeCell ref="AQ39:AT39"/>
    <mergeCell ref="AQ40:AT40"/>
    <mergeCell ref="AO36:AP36"/>
    <mergeCell ref="AO37:AP37"/>
    <mergeCell ref="AO38:AP38"/>
    <mergeCell ref="AO39:AP39"/>
    <mergeCell ref="AO40:AP40"/>
    <mergeCell ref="F127:L129"/>
    <mergeCell ref="M129:AJ129"/>
    <mergeCell ref="M120:AJ120"/>
    <mergeCell ref="M121:AJ121"/>
    <mergeCell ref="M122:AJ122"/>
    <mergeCell ref="AK120:AN120"/>
    <mergeCell ref="AK121:AN121"/>
    <mergeCell ref="AK122:AN122"/>
    <mergeCell ref="F119:L122"/>
    <mergeCell ref="M126:AJ126"/>
    <mergeCell ref="AK126:AN126"/>
    <mergeCell ref="F123:L123"/>
    <mergeCell ref="M123:AJ123"/>
    <mergeCell ref="AK123:AN123"/>
    <mergeCell ref="F124:L124"/>
    <mergeCell ref="M124:AJ124"/>
    <mergeCell ref="AK124:AN124"/>
  </mergeCells>
  <conditionalFormatting sqref="AB11:AC30">
    <cfRule type="expression" dxfId="78" priority="20" stopIfTrue="1">
      <formula>OR(AND($Y11=3,$AB11&gt;3),AND($Y11=2,$AB11&gt;9),AND($Y11=4,$AB11&gt;12))</formula>
    </cfRule>
  </conditionalFormatting>
  <conditionalFormatting sqref="AG11:AH30">
    <cfRule type="expression" dxfId="77" priority="18" stopIfTrue="1">
      <formula>OR($U11="",$AB11="",$AD11="")</formula>
    </cfRule>
  </conditionalFormatting>
  <conditionalFormatting sqref="AI11:AL30">
    <cfRule type="expression" dxfId="76" priority="17" stopIfTrue="1">
      <formula>OR($U11="",$AB11="",$AD11="")</formula>
    </cfRule>
  </conditionalFormatting>
  <conditionalFormatting sqref="AM11:AN30">
    <cfRule type="expression" dxfId="75" priority="16" stopIfTrue="1">
      <formula>OR($U11="",$AB11="",$AD11="")</formula>
    </cfRule>
  </conditionalFormatting>
  <conditionalFormatting sqref="AO11:AP30">
    <cfRule type="expression" dxfId="74" priority="15" stopIfTrue="1">
      <formula>OR($U11="",$AB11="",$AD11="")</formula>
    </cfRule>
  </conditionalFormatting>
  <conditionalFormatting sqref="AQ11:AT30">
    <cfRule type="expression" dxfId="73" priority="14" stopIfTrue="1">
      <formula>OR($U11="",$AB11="",$AD11="")</formula>
    </cfRule>
  </conditionalFormatting>
  <conditionalFormatting sqref="F11:F30">
    <cfRule type="expression" dxfId="72" priority="13" stopIfTrue="1">
      <formula>F11=0</formula>
    </cfRule>
  </conditionalFormatting>
  <conditionalFormatting sqref="AG103:AJ107 F109:AJ113 F103:F107">
    <cfRule type="cellIs" dxfId="71" priority="12" stopIfTrue="1" operator="equal">
      <formula>0</formula>
    </cfRule>
  </conditionalFormatting>
  <conditionalFormatting sqref="AI46:AT50">
    <cfRule type="expression" dxfId="70" priority="10" stopIfTrue="1">
      <formula>$U46=""</formula>
    </cfRule>
  </conditionalFormatting>
  <conditionalFormatting sqref="AG46:AH50">
    <cfRule type="expression" dxfId="69" priority="9" stopIfTrue="1">
      <formula>$U46=""</formula>
    </cfRule>
  </conditionalFormatting>
  <conditionalFormatting sqref="AD11:AF30">
    <cfRule type="expression" dxfId="68" priority="7" stopIfTrue="1">
      <formula>$AD11&gt;100%</formula>
    </cfRule>
  </conditionalFormatting>
  <conditionalFormatting sqref="U6">
    <cfRule type="cellIs" dxfId="67" priority="6" stopIfTrue="1" operator="equal">
      <formula>0</formula>
    </cfRule>
  </conditionalFormatting>
  <conditionalFormatting sqref="V5:AT6">
    <cfRule type="cellIs" dxfId="66" priority="4" stopIfTrue="1" operator="lessThanOrEqual">
      <formula>0</formula>
    </cfRule>
  </conditionalFormatting>
  <conditionalFormatting sqref="R8:AT9">
    <cfRule type="expression" dxfId="65" priority="2">
      <formula>SUM($AA$11:$AA$30)&gt;0</formula>
    </cfRule>
  </conditionalFormatting>
  <conditionalFormatting sqref="U11:X30">
    <cfRule type="expression" dxfId="64" priority="1">
      <formula>$AA11&lt;&gt;""</formula>
    </cfRule>
  </conditionalFormatting>
  <conditionalFormatting sqref="AO36:AO40 AQ36:AQ40 AF36:AF40 AI36:AI40 AM36:AM40">
    <cfRule type="expression" dxfId="63" priority="34" stopIfTrue="1">
      <formula>$AB36=""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5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5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5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5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5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E11:E30 E56:E65 E69:E76 E78:E85 E90:E99 E103:E107 E109:E113 E46:E50 C36:E40 E117:E129" numberStoredAsText="1"/>
    <ignoredError sqref="F11:K30" numberStoredAsText="1" formulaRange="1"/>
    <ignoredError sqref="L11:N30 O11:T3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1267"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1268"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1269"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1270"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1271"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1272"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1273"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1274"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1275"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1276"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1277"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1278"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1279"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1280"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1281"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1282"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1283"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1284"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1298" r:id="rId24" name="Drop Down 34">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1299" r:id="rId25" name="Drop Down 35">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1300" r:id="rId26" name="Drop Down 36">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1301" r:id="rId27" name="Drop Down 37">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1302" r:id="rId28" name="Drop Down 38">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1303" r:id="rId29" name="Drop Down 39">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1304" r:id="rId30" name="Drop Down 40">
              <controlPr defaultSize="0" autoLine="0" autoPict="0">
                <anchor moveWithCells="1" sizeWithCells="1">
                  <from>
                    <xdr:col>17</xdr:col>
                    <xdr:colOff>190500</xdr:colOff>
                    <xdr:row>38</xdr:row>
                    <xdr:rowOff>19050</xdr:rowOff>
                  </from>
                  <to>
                    <xdr:col>26</xdr:col>
                    <xdr:colOff>238125</xdr:colOff>
                    <xdr:row>38</xdr:row>
                    <xdr:rowOff>238125</xdr:rowOff>
                  </to>
                </anchor>
              </controlPr>
            </control>
          </mc:Choice>
        </mc:AlternateContent>
        <mc:AlternateContent xmlns:mc="http://schemas.openxmlformats.org/markup-compatibility/2006">
          <mc:Choice Requires="x14">
            <control shapeId="11305" r:id="rId31" name="Drop Down 41">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1306" r:id="rId32" name="Drop Down 42">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1307" r:id="rId33" name="Drop Down 43">
              <controlPr locked="0"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1308" r:id="rId34" name="Drop Down 44">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1309" r:id="rId35" name="Drop Down 4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1295" r:id="rId36" name="Drop Down 31">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1296" r:id="rId37" name="Drop Down 32">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1297" r:id="rId38" name="Drop Down 33">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228</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IF(Data_ProjectStartDate&gt;=Var_EarliestProjectStartDate,TEXT(DATE(YEAR(Data_ProjectStartDate)+4,MONTH(Data_ProjectStartDate),DAY(Data_ProjectStartDate))," mmmm d, yyyy") &amp; " - " &amp; TEXT(DATE(YEAR(Data_ProjectStartDate)+5,MONTH(Data_ProjectStartDate),DAY(Data_ProjectStartDate)-1),"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613" t="str">
        <f>CONCATENATE("Please note: Post-docs, as exempt employees, must be paid $",Salary_MinimumFLSAPostDoc_Annual_Y5," annually (or $",Salary_MinimumFLSAPostDoc_Academic_Y5,"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743">
        <f>'Budget Period 1'!F11:K11</f>
        <v>0</v>
      </c>
      <c r="G11" s="744"/>
      <c r="H11" s="744"/>
      <c r="I11" s="744"/>
      <c r="J11" s="744"/>
      <c r="K11" s="745"/>
      <c r="L11" s="740" t="str">
        <f>CHOOSE('Budget Period 1'!L11,"",'Drop-Down_Options'!$B$25,'Drop-Down_Options'!$B$26,'Drop-Down_Options'!$B$27,'Drop-Down_Options'!$B$28)</f>
        <v/>
      </c>
      <c r="M11" s="741"/>
      <c r="N11" s="742"/>
      <c r="O11" s="740" t="str">
        <f>CHOOSE('Budget Period 1'!O11,"",'Drop-Down_Options'!$B$35,'Drop-Down_Options'!$B$36,"Classified","LTE")</f>
        <v/>
      </c>
      <c r="P11" s="741"/>
      <c r="Q11" s="741"/>
      <c r="R11" s="741"/>
      <c r="S11" s="741"/>
      <c r="T11" s="742"/>
      <c r="U11" s="737">
        <f>'Budget Period 4'!U11*(1+IF(L11="PI",Data_SalaryInflationRatePI,Data_SalaryInflationRate))</f>
        <v>0</v>
      </c>
      <c r="V11" s="738"/>
      <c r="W11" s="738"/>
      <c r="X11" s="739"/>
      <c r="Y11" s="113">
        <v>1</v>
      </c>
      <c r="Z11" s="128"/>
      <c r="AA11" s="326" t="str">
        <f t="shared" ref="AA11:AA30" si="0">IF(AND(L11="Post Doc",OR(AND(O11="Academic",U11&lt;Salary_MinimumFLSAPostDoc_Academic_Y5),AND(O11="Annual",U11&lt;Salary_MinimumFLSAPostDoc_Annual_Y5))),1,"")</f>
        <v/>
      </c>
      <c r="AB11" s="627"/>
      <c r="AC11" s="628"/>
      <c r="AD11" s="623"/>
      <c r="AE11" s="624"/>
      <c r="AF11" s="624"/>
      <c r="AG11" s="621">
        <f t="shared" ref="AG11:AG30" si="1">AB11*AD11</f>
        <v>0</v>
      </c>
      <c r="AH11" s="622"/>
      <c r="AI11" s="602">
        <f>(IF(OR('Budget Period 1'!L11&lt;2,'Budget Period 1'!O11&lt;2),0,IF(OR('Budget Period 1'!O11=4,'Budget Period 1'!O11=5),U11*2080/12*AB11*AD11,(U11/(CHOOSE('Budget Period 1'!O11,0,9,12,0,0))*AB11*AD11))))</f>
        <v>0</v>
      </c>
      <c r="AJ11" s="603"/>
      <c r="AK11" s="603"/>
      <c r="AL11" s="604"/>
      <c r="AM11" s="787">
        <f>IF(OR('Budget Period 1'!L11&lt;2,'Budget Period 1'!O11&lt;2),0,IF('Budget Period 1'!L11=4,FringeRate_Y5_PostDoc,CHOOSE('Budget Period 1'!O11,0,FringeRate_Y5_Faculty,FringeRate_Y5_Faculty,FringeRate_Y5_Classified,FringeRate_Y5_LTE)))</f>
        <v>0</v>
      </c>
      <c r="AN11" s="788"/>
      <c r="AO11" s="789">
        <f>AI11*AM11</f>
        <v>0</v>
      </c>
      <c r="AP11" s="790"/>
      <c r="AQ11" s="602">
        <f>AI11+AO11</f>
        <v>0</v>
      </c>
      <c r="AR11" s="603"/>
      <c r="AS11" s="603"/>
      <c r="AT11" s="611"/>
      <c r="AU11" s="137"/>
      <c r="AV11" s="10"/>
    </row>
    <row r="12" spans="2:48" ht="18" customHeight="1" thickBot="1" x14ac:dyDescent="0.25">
      <c r="B12" s="10"/>
      <c r="C12" s="137"/>
      <c r="D12" s="137"/>
      <c r="E12" s="149" t="s">
        <v>92</v>
      </c>
      <c r="F12" s="722">
        <f>'Budget Period 1'!F12:K12</f>
        <v>0</v>
      </c>
      <c r="G12" s="723"/>
      <c r="H12" s="723"/>
      <c r="I12" s="723"/>
      <c r="J12" s="723"/>
      <c r="K12" s="724"/>
      <c r="L12" s="725" t="str">
        <f>CHOOSE('Budget Period 1'!L12,"",'Drop-Down_Options'!$B$25,'Drop-Down_Options'!$B$26,'Drop-Down_Options'!$B$27,'Drop-Down_Options'!$B$28)</f>
        <v/>
      </c>
      <c r="M12" s="726"/>
      <c r="N12" s="727"/>
      <c r="O12" s="725" t="str">
        <f>CHOOSE('Budget Period 1'!O12,"",'Drop-Down_Options'!$B$35,'Drop-Down_Options'!$B$36,"Classified","LTE")</f>
        <v/>
      </c>
      <c r="P12" s="726"/>
      <c r="Q12" s="726"/>
      <c r="R12" s="726"/>
      <c r="S12" s="726"/>
      <c r="T12" s="727"/>
      <c r="U12" s="719">
        <f>'Budget Period 4'!U12*(1+IF(L12="PI",Data_SalaryInflationRatePI,Data_SalaryInflationRate))</f>
        <v>0</v>
      </c>
      <c r="V12" s="720"/>
      <c r="W12" s="720"/>
      <c r="X12" s="721"/>
      <c r="Y12" s="114">
        <v>1</v>
      </c>
      <c r="Z12" s="129"/>
      <c r="AA12" s="326" t="str">
        <f t="shared" si="0"/>
        <v/>
      </c>
      <c r="AB12" s="434"/>
      <c r="AC12" s="436"/>
      <c r="AD12" s="625"/>
      <c r="AE12" s="626"/>
      <c r="AF12" s="626"/>
      <c r="AG12" s="535">
        <f t="shared" si="1"/>
        <v>0</v>
      </c>
      <c r="AH12" s="536"/>
      <c r="AI12" s="530">
        <f>(IF(OR('Budget Period 1'!L12&lt;2,'Budget Period 1'!O12&lt;2),0,IF(OR('Budget Period 1'!O12=4,'Budget Period 1'!O12=5),U12*2080/12*AB12*AD12,(U12/(CHOOSE('Budget Period 1'!O12,0,9,12,0,0))*AB12*AD12))))</f>
        <v>0</v>
      </c>
      <c r="AJ12" s="531"/>
      <c r="AK12" s="531"/>
      <c r="AL12" s="532"/>
      <c r="AM12" s="783">
        <f>IF(OR('Budget Period 1'!L12&lt;2,'Budget Period 1'!O12&lt;2),0,IF('Budget Period 1'!L12=4,FringeRate_Y5_PostDoc,CHOOSE('Budget Period 1'!O12,0,FringeRate_Y5_Faculty,FringeRate_Y5_Faculty,FringeRate_Y5_Classified,FringeRate_Y5_LTE)))</f>
        <v>0</v>
      </c>
      <c r="AN12" s="784"/>
      <c r="AO12" s="785">
        <f t="shared" ref="AO12:AO30" si="2">AI12*AM12</f>
        <v>0</v>
      </c>
      <c r="AP12" s="786"/>
      <c r="AQ12" s="530">
        <f t="shared" ref="AQ12:AQ30" si="3">AI12+AO12</f>
        <v>0</v>
      </c>
      <c r="AR12" s="531"/>
      <c r="AS12" s="531"/>
      <c r="AT12" s="612"/>
      <c r="AU12" s="137"/>
      <c r="AV12" s="10"/>
    </row>
    <row r="13" spans="2:48" ht="18" customHeight="1" thickBot="1" x14ac:dyDescent="0.25">
      <c r="B13" s="10"/>
      <c r="C13" s="137"/>
      <c r="D13" s="137"/>
      <c r="E13" s="149" t="s">
        <v>93</v>
      </c>
      <c r="F13" s="722">
        <f>'Budget Period 1'!F13:K13</f>
        <v>0</v>
      </c>
      <c r="G13" s="723"/>
      <c r="H13" s="723"/>
      <c r="I13" s="723"/>
      <c r="J13" s="723"/>
      <c r="K13" s="724"/>
      <c r="L13" s="725" t="str">
        <f>CHOOSE('Budget Period 1'!L13,"",'Drop-Down_Options'!$B$25,'Drop-Down_Options'!$B$26,'Drop-Down_Options'!$B$27,'Drop-Down_Options'!$B$28)</f>
        <v/>
      </c>
      <c r="M13" s="726"/>
      <c r="N13" s="727"/>
      <c r="O13" s="725" t="str">
        <f>CHOOSE('Budget Period 1'!O13,"",'Drop-Down_Options'!$B$35,'Drop-Down_Options'!$B$36,"Classified","LTE")</f>
        <v/>
      </c>
      <c r="P13" s="791"/>
      <c r="Q13" s="791"/>
      <c r="R13" s="791"/>
      <c r="S13" s="791"/>
      <c r="T13" s="792"/>
      <c r="U13" s="719">
        <f>'Budget Period 4'!U13*(1+IF(L13="PI",Data_SalaryInflationRatePI,Data_SalaryInflationRate))</f>
        <v>0</v>
      </c>
      <c r="V13" s="720"/>
      <c r="W13" s="720"/>
      <c r="X13" s="721"/>
      <c r="Y13" s="114">
        <v>1</v>
      </c>
      <c r="Z13" s="129"/>
      <c r="AA13" s="326" t="str">
        <f t="shared" si="0"/>
        <v/>
      </c>
      <c r="AB13" s="434"/>
      <c r="AC13" s="436"/>
      <c r="AD13" s="625"/>
      <c r="AE13" s="626"/>
      <c r="AF13" s="626"/>
      <c r="AG13" s="535">
        <f t="shared" si="1"/>
        <v>0</v>
      </c>
      <c r="AH13" s="536"/>
      <c r="AI13" s="530">
        <f>(IF(OR('Budget Period 1'!L13&lt;2,'Budget Period 1'!O13&lt;2),0,IF(OR('Budget Period 1'!O13=4,'Budget Period 1'!O13=5),U13*2080/12*AB13*AD13,(U13/(CHOOSE('Budget Period 1'!O13,0,9,12,0,0))*AB13*AD13))))</f>
        <v>0</v>
      </c>
      <c r="AJ13" s="531"/>
      <c r="AK13" s="531"/>
      <c r="AL13" s="532"/>
      <c r="AM13" s="783">
        <f>IF(OR('Budget Period 1'!L13&lt;2,'Budget Period 1'!O13&lt;2),0,IF('Budget Period 1'!L13=4,FringeRate_Y5_PostDoc,CHOOSE('Budget Period 1'!O13,0,FringeRate_Y5_Faculty,FringeRate_Y5_Faculty,FringeRate_Y5_Classified,FringeRate_Y5_LTE)))</f>
        <v>0</v>
      </c>
      <c r="AN13" s="784"/>
      <c r="AO13" s="785">
        <f t="shared" si="2"/>
        <v>0</v>
      </c>
      <c r="AP13" s="786"/>
      <c r="AQ13" s="530">
        <f t="shared" si="3"/>
        <v>0</v>
      </c>
      <c r="AR13" s="531"/>
      <c r="AS13" s="531"/>
      <c r="AT13" s="612"/>
      <c r="AU13" s="137"/>
      <c r="AV13" s="10"/>
    </row>
    <row r="14" spans="2:48" ht="18" customHeight="1" thickBot="1" x14ac:dyDescent="0.25">
      <c r="B14" s="10"/>
      <c r="C14" s="137"/>
      <c r="D14" s="137"/>
      <c r="E14" s="149" t="s">
        <v>94</v>
      </c>
      <c r="F14" s="722">
        <f>'Budget Period 1'!F14:K14</f>
        <v>0</v>
      </c>
      <c r="G14" s="723"/>
      <c r="H14" s="723"/>
      <c r="I14" s="723"/>
      <c r="J14" s="723"/>
      <c r="K14" s="724"/>
      <c r="L14" s="725" t="str">
        <f>CHOOSE('Budget Period 1'!L14,"",'Drop-Down_Options'!$B$25,'Drop-Down_Options'!$B$26,'Drop-Down_Options'!$B$27,'Drop-Down_Options'!$B$28)</f>
        <v/>
      </c>
      <c r="M14" s="726"/>
      <c r="N14" s="727"/>
      <c r="O14" s="725" t="str">
        <f>CHOOSE('Budget Period 1'!O14,"",'Drop-Down_Options'!$B$35,'Drop-Down_Options'!$B$36,"Classified","LTE")</f>
        <v/>
      </c>
      <c r="P14" s="726"/>
      <c r="Q14" s="726"/>
      <c r="R14" s="726"/>
      <c r="S14" s="726"/>
      <c r="T14" s="727"/>
      <c r="U14" s="719">
        <f>'Budget Period 4'!U14*(1+IF(L14="PI",Data_SalaryInflationRatePI,Data_SalaryInflationRate))</f>
        <v>0</v>
      </c>
      <c r="V14" s="720"/>
      <c r="W14" s="720"/>
      <c r="X14" s="721"/>
      <c r="Y14" s="114">
        <v>1</v>
      </c>
      <c r="Z14" s="129"/>
      <c r="AA14" s="326" t="str">
        <f t="shared" si="0"/>
        <v/>
      </c>
      <c r="AB14" s="434"/>
      <c r="AC14" s="436"/>
      <c r="AD14" s="625"/>
      <c r="AE14" s="626"/>
      <c r="AF14" s="626"/>
      <c r="AG14" s="535">
        <f t="shared" si="1"/>
        <v>0</v>
      </c>
      <c r="AH14" s="536"/>
      <c r="AI14" s="530">
        <f>(IF(OR('Budget Period 1'!L14&lt;2,'Budget Period 1'!O14&lt;2),0,IF(OR('Budget Period 1'!O14=4,'Budget Period 1'!O14=5),U14*2080/12*AB14*AD14,(U14/(CHOOSE('Budget Period 1'!O14,0,9,12,0,0))*AB14*AD14))))</f>
        <v>0</v>
      </c>
      <c r="AJ14" s="531"/>
      <c r="AK14" s="531"/>
      <c r="AL14" s="532"/>
      <c r="AM14" s="783">
        <f>IF(OR('Budget Period 1'!L14&lt;2,'Budget Period 1'!O14&lt;2),0,IF('Budget Period 1'!L14=4,FringeRate_Y5_PostDoc,CHOOSE('Budget Period 1'!O14,0,FringeRate_Y5_Faculty,FringeRate_Y5_Faculty,FringeRate_Y5_Classified,FringeRate_Y5_LTE)))</f>
        <v>0</v>
      </c>
      <c r="AN14" s="784"/>
      <c r="AO14" s="785">
        <f t="shared" si="2"/>
        <v>0</v>
      </c>
      <c r="AP14" s="786"/>
      <c r="AQ14" s="530">
        <f t="shared" si="3"/>
        <v>0</v>
      </c>
      <c r="AR14" s="531"/>
      <c r="AS14" s="531"/>
      <c r="AT14" s="612"/>
      <c r="AU14" s="137"/>
      <c r="AV14" s="10"/>
    </row>
    <row r="15" spans="2:48" ht="18" customHeight="1" thickBot="1" x14ac:dyDescent="0.25">
      <c r="B15" s="10"/>
      <c r="C15" s="137"/>
      <c r="D15" s="137"/>
      <c r="E15" s="149" t="s">
        <v>95</v>
      </c>
      <c r="F15" s="722">
        <f>'Budget Period 1'!F15:K15</f>
        <v>0</v>
      </c>
      <c r="G15" s="723"/>
      <c r="H15" s="723"/>
      <c r="I15" s="723"/>
      <c r="J15" s="723"/>
      <c r="K15" s="724"/>
      <c r="L15" s="725" t="str">
        <f>CHOOSE('Budget Period 1'!L15,"",'Drop-Down_Options'!$B$25,'Drop-Down_Options'!$B$26,'Drop-Down_Options'!$B$27,'Drop-Down_Options'!$B$28)</f>
        <v/>
      </c>
      <c r="M15" s="726"/>
      <c r="N15" s="727"/>
      <c r="O15" s="725" t="str">
        <f>CHOOSE('Budget Period 1'!O15,"",'Drop-Down_Options'!$B$35,'Drop-Down_Options'!$B$36,"Classified","LTE")</f>
        <v/>
      </c>
      <c r="P15" s="726"/>
      <c r="Q15" s="726"/>
      <c r="R15" s="726"/>
      <c r="S15" s="726"/>
      <c r="T15" s="727"/>
      <c r="U15" s="719">
        <f>'Budget Period 4'!U15*(1+IF(L15="PI",Data_SalaryInflationRatePI,Data_SalaryInflationRate))</f>
        <v>0</v>
      </c>
      <c r="V15" s="720"/>
      <c r="W15" s="720"/>
      <c r="X15" s="721"/>
      <c r="Y15" s="114">
        <v>1</v>
      </c>
      <c r="Z15" s="129"/>
      <c r="AA15" s="326" t="str">
        <f t="shared" si="0"/>
        <v/>
      </c>
      <c r="AB15" s="434"/>
      <c r="AC15" s="436"/>
      <c r="AD15" s="625"/>
      <c r="AE15" s="626"/>
      <c r="AF15" s="626"/>
      <c r="AG15" s="535">
        <f t="shared" si="1"/>
        <v>0</v>
      </c>
      <c r="AH15" s="536"/>
      <c r="AI15" s="530">
        <f>(IF(OR('Budget Period 1'!L15&lt;2,'Budget Period 1'!O15&lt;2),0,IF(OR('Budget Period 1'!O15=4,'Budget Period 1'!O15=5),U15*2080/12*AB15*AD15,(U15/(CHOOSE('Budget Period 1'!O15,0,9,12,0,0))*AB15*AD15))))</f>
        <v>0</v>
      </c>
      <c r="AJ15" s="531"/>
      <c r="AK15" s="531"/>
      <c r="AL15" s="532"/>
      <c r="AM15" s="783">
        <f>IF(OR('Budget Period 1'!L15&lt;2,'Budget Period 1'!O15&lt;2),0,IF('Budget Period 1'!L15=4,FringeRate_Y5_PostDoc,CHOOSE('Budget Period 1'!O15,0,FringeRate_Y5_Faculty,FringeRate_Y5_Faculty,FringeRate_Y5_Classified,FringeRate_Y5_LTE)))</f>
        <v>0</v>
      </c>
      <c r="AN15" s="784"/>
      <c r="AO15" s="785">
        <f t="shared" si="2"/>
        <v>0</v>
      </c>
      <c r="AP15" s="786"/>
      <c r="AQ15" s="530">
        <f t="shared" si="3"/>
        <v>0</v>
      </c>
      <c r="AR15" s="531"/>
      <c r="AS15" s="531"/>
      <c r="AT15" s="612"/>
      <c r="AU15" s="137"/>
      <c r="AV15" s="10"/>
    </row>
    <row r="16" spans="2:48" ht="18" customHeight="1" thickBot="1" x14ac:dyDescent="0.25">
      <c r="B16" s="10"/>
      <c r="C16" s="137"/>
      <c r="D16" s="137"/>
      <c r="E16" s="149" t="s">
        <v>96</v>
      </c>
      <c r="F16" s="722">
        <f>'Budget Period 1'!F16:K16</f>
        <v>0</v>
      </c>
      <c r="G16" s="723"/>
      <c r="H16" s="723"/>
      <c r="I16" s="723"/>
      <c r="J16" s="723"/>
      <c r="K16" s="724"/>
      <c r="L16" s="725" t="str">
        <f>CHOOSE('Budget Period 1'!L16,"",'Drop-Down_Options'!$B$25,'Drop-Down_Options'!$B$26,'Drop-Down_Options'!$B$27,'Drop-Down_Options'!$B$28)</f>
        <v/>
      </c>
      <c r="M16" s="726"/>
      <c r="N16" s="727"/>
      <c r="O16" s="725" t="str">
        <f>CHOOSE('Budget Period 1'!O16,"",'Drop-Down_Options'!$B$35,'Drop-Down_Options'!$B$36,"Classified","LTE")</f>
        <v/>
      </c>
      <c r="P16" s="726"/>
      <c r="Q16" s="726"/>
      <c r="R16" s="726"/>
      <c r="S16" s="726"/>
      <c r="T16" s="727"/>
      <c r="U16" s="719">
        <f>'Budget Period 4'!U16*(1+IF(L16="PI",Data_SalaryInflationRatePI,Data_SalaryInflationRate))</f>
        <v>0</v>
      </c>
      <c r="V16" s="720"/>
      <c r="W16" s="720"/>
      <c r="X16" s="721"/>
      <c r="Y16" s="114">
        <v>1</v>
      </c>
      <c r="Z16" s="129"/>
      <c r="AA16" s="326" t="str">
        <f t="shared" si="0"/>
        <v/>
      </c>
      <c r="AB16" s="434"/>
      <c r="AC16" s="436"/>
      <c r="AD16" s="625"/>
      <c r="AE16" s="626"/>
      <c r="AF16" s="626"/>
      <c r="AG16" s="535">
        <f t="shared" si="1"/>
        <v>0</v>
      </c>
      <c r="AH16" s="536"/>
      <c r="AI16" s="530">
        <f>(IF(OR('Budget Period 1'!L16&lt;2,'Budget Period 1'!O16&lt;2),0,IF(OR('Budget Period 1'!O16=4,'Budget Period 1'!O16=5),U16*2080/12*AB16*AD16,(U16/(CHOOSE('Budget Period 1'!O16,0,9,12,0,0))*AB16*AD16))))</f>
        <v>0</v>
      </c>
      <c r="AJ16" s="531"/>
      <c r="AK16" s="531"/>
      <c r="AL16" s="532"/>
      <c r="AM16" s="783">
        <f>IF(OR('Budget Period 1'!L16&lt;2,'Budget Period 1'!O16&lt;2),0,IF('Budget Period 1'!L16=4,FringeRate_Y5_PostDoc,CHOOSE('Budget Period 1'!O16,0,FringeRate_Y5_Faculty,FringeRate_Y5_Faculty,FringeRate_Y5_Classified,FringeRate_Y5_LTE)))</f>
        <v>0</v>
      </c>
      <c r="AN16" s="784"/>
      <c r="AO16" s="785">
        <f t="shared" si="2"/>
        <v>0</v>
      </c>
      <c r="AP16" s="786"/>
      <c r="AQ16" s="530">
        <f t="shared" si="3"/>
        <v>0</v>
      </c>
      <c r="AR16" s="531"/>
      <c r="AS16" s="531"/>
      <c r="AT16" s="612"/>
      <c r="AU16" s="137"/>
      <c r="AV16" s="10"/>
    </row>
    <row r="17" spans="2:48" ht="18" customHeight="1" thickBot="1" x14ac:dyDescent="0.25">
      <c r="B17" s="10"/>
      <c r="C17" s="137"/>
      <c r="D17" s="137"/>
      <c r="E17" s="149" t="s">
        <v>97</v>
      </c>
      <c r="F17" s="722">
        <f>'Budget Period 1'!F17:K17</f>
        <v>0</v>
      </c>
      <c r="G17" s="723"/>
      <c r="H17" s="723"/>
      <c r="I17" s="723"/>
      <c r="J17" s="723"/>
      <c r="K17" s="724"/>
      <c r="L17" s="725" t="str">
        <f>CHOOSE('Budget Period 1'!L17,"",'Drop-Down_Options'!$B$25,'Drop-Down_Options'!$B$26,'Drop-Down_Options'!$B$27,'Drop-Down_Options'!$B$28)</f>
        <v/>
      </c>
      <c r="M17" s="726"/>
      <c r="N17" s="727"/>
      <c r="O17" s="725" t="str">
        <f>CHOOSE('Budget Period 1'!O17,"",'Drop-Down_Options'!$B$35,'Drop-Down_Options'!$B$36,"Classified","LTE")</f>
        <v/>
      </c>
      <c r="P17" s="726"/>
      <c r="Q17" s="726"/>
      <c r="R17" s="726"/>
      <c r="S17" s="726"/>
      <c r="T17" s="727"/>
      <c r="U17" s="719">
        <f>'Budget Period 4'!U17*(1+IF(L17="PI",Data_SalaryInflationRatePI,Data_SalaryInflationRate))</f>
        <v>0</v>
      </c>
      <c r="V17" s="720"/>
      <c r="W17" s="720"/>
      <c r="X17" s="721"/>
      <c r="Y17" s="114">
        <v>1</v>
      </c>
      <c r="Z17" s="129"/>
      <c r="AA17" s="326" t="str">
        <f t="shared" si="0"/>
        <v/>
      </c>
      <c r="AB17" s="434"/>
      <c r="AC17" s="436"/>
      <c r="AD17" s="625"/>
      <c r="AE17" s="626"/>
      <c r="AF17" s="626"/>
      <c r="AG17" s="535">
        <f t="shared" si="1"/>
        <v>0</v>
      </c>
      <c r="AH17" s="536"/>
      <c r="AI17" s="530">
        <f>(IF(OR('Budget Period 1'!L17&lt;2,'Budget Period 1'!O17&lt;2),0,IF(OR('Budget Period 1'!O17=4,'Budget Period 1'!O17=5),U17*2080/12*AB17*AD17,(U17/(CHOOSE('Budget Period 1'!O17,0,9,12,0,0))*AB17*AD17))))</f>
        <v>0</v>
      </c>
      <c r="AJ17" s="531"/>
      <c r="AK17" s="531"/>
      <c r="AL17" s="532"/>
      <c r="AM17" s="783">
        <f>IF(OR('Budget Period 1'!L17&lt;2,'Budget Period 1'!O17&lt;2),0,IF('Budget Period 1'!L17=4,FringeRate_Y5_PostDoc,CHOOSE('Budget Period 1'!O17,0,FringeRate_Y5_Faculty,FringeRate_Y5_Faculty,FringeRate_Y5_Classified,FringeRate_Y5_LTE)))</f>
        <v>0</v>
      </c>
      <c r="AN17" s="784"/>
      <c r="AO17" s="785">
        <f t="shared" si="2"/>
        <v>0</v>
      </c>
      <c r="AP17" s="786"/>
      <c r="AQ17" s="530">
        <f t="shared" si="3"/>
        <v>0</v>
      </c>
      <c r="AR17" s="531"/>
      <c r="AS17" s="531"/>
      <c r="AT17" s="612"/>
      <c r="AU17" s="137"/>
      <c r="AV17" s="10"/>
    </row>
    <row r="18" spans="2:48" ht="18" customHeight="1" thickBot="1" x14ac:dyDescent="0.25">
      <c r="B18" s="10"/>
      <c r="C18" s="137"/>
      <c r="D18" s="137"/>
      <c r="E18" s="149" t="s">
        <v>98</v>
      </c>
      <c r="F18" s="722">
        <f>'Budget Period 1'!F18:K18</f>
        <v>0</v>
      </c>
      <c r="G18" s="723"/>
      <c r="H18" s="723"/>
      <c r="I18" s="723"/>
      <c r="J18" s="723"/>
      <c r="K18" s="724"/>
      <c r="L18" s="725" t="str">
        <f>CHOOSE('Budget Period 1'!L18,"",'Drop-Down_Options'!$B$25,'Drop-Down_Options'!$B$26,'Drop-Down_Options'!$B$27,'Drop-Down_Options'!$B$28)</f>
        <v/>
      </c>
      <c r="M18" s="726"/>
      <c r="N18" s="727"/>
      <c r="O18" s="725" t="str">
        <f>CHOOSE('Budget Period 1'!O18,"",'Drop-Down_Options'!$B$35,'Drop-Down_Options'!$B$36,"Classified","LTE")</f>
        <v/>
      </c>
      <c r="P18" s="726"/>
      <c r="Q18" s="726"/>
      <c r="R18" s="726"/>
      <c r="S18" s="726"/>
      <c r="T18" s="727"/>
      <c r="U18" s="719">
        <f>'Budget Period 4'!U18*(1+IF(L18="PI",Data_SalaryInflationRatePI,Data_SalaryInflationRate))</f>
        <v>0</v>
      </c>
      <c r="V18" s="720"/>
      <c r="W18" s="720"/>
      <c r="X18" s="721"/>
      <c r="Y18" s="114">
        <v>1</v>
      </c>
      <c r="Z18" s="129"/>
      <c r="AA18" s="326" t="str">
        <f t="shared" si="0"/>
        <v/>
      </c>
      <c r="AB18" s="434"/>
      <c r="AC18" s="436"/>
      <c r="AD18" s="625"/>
      <c r="AE18" s="626"/>
      <c r="AF18" s="626"/>
      <c r="AG18" s="535">
        <f t="shared" si="1"/>
        <v>0</v>
      </c>
      <c r="AH18" s="536"/>
      <c r="AI18" s="530">
        <f>(IF(OR('Budget Period 1'!L18&lt;2,'Budget Period 1'!O18&lt;2),0,IF(OR('Budget Period 1'!O18=4,'Budget Period 1'!O18=5),U18*2080/12*AB18*AD18,(U18/(CHOOSE('Budget Period 1'!O18,0,9,12,0,0))*AB18*AD18))))</f>
        <v>0</v>
      </c>
      <c r="AJ18" s="531"/>
      <c r="AK18" s="531"/>
      <c r="AL18" s="532"/>
      <c r="AM18" s="783">
        <f>IF(OR('Budget Period 1'!L18&lt;2,'Budget Period 1'!O18&lt;2),0,IF('Budget Period 1'!L18=4,FringeRate_Y5_PostDoc,CHOOSE('Budget Period 1'!O18,0,FringeRate_Y5_Faculty,FringeRate_Y5_Faculty,FringeRate_Y5_Classified,FringeRate_Y5_LTE)))</f>
        <v>0</v>
      </c>
      <c r="AN18" s="784"/>
      <c r="AO18" s="785">
        <f t="shared" si="2"/>
        <v>0</v>
      </c>
      <c r="AP18" s="786"/>
      <c r="AQ18" s="530">
        <f t="shared" si="3"/>
        <v>0</v>
      </c>
      <c r="AR18" s="531"/>
      <c r="AS18" s="531"/>
      <c r="AT18" s="612"/>
      <c r="AU18" s="137"/>
      <c r="AV18" s="10"/>
    </row>
    <row r="19" spans="2:48" ht="18" customHeight="1" thickBot="1" x14ac:dyDescent="0.25">
      <c r="B19" s="10"/>
      <c r="C19" s="137"/>
      <c r="D19" s="137"/>
      <c r="E19" s="149" t="s">
        <v>99</v>
      </c>
      <c r="F19" s="722">
        <f>'Budget Period 1'!F19:K19</f>
        <v>0</v>
      </c>
      <c r="G19" s="723"/>
      <c r="H19" s="723"/>
      <c r="I19" s="723"/>
      <c r="J19" s="723"/>
      <c r="K19" s="724"/>
      <c r="L19" s="725" t="str">
        <f>CHOOSE('Budget Period 1'!L19,"",'Drop-Down_Options'!$B$25,'Drop-Down_Options'!$B$26,'Drop-Down_Options'!$B$27,'Drop-Down_Options'!$B$28)</f>
        <v/>
      </c>
      <c r="M19" s="726"/>
      <c r="N19" s="727"/>
      <c r="O19" s="725" t="str">
        <f>CHOOSE('Budget Period 1'!O19,"",'Drop-Down_Options'!$B$35,'Drop-Down_Options'!$B$36,"Classified","LTE")</f>
        <v/>
      </c>
      <c r="P19" s="726"/>
      <c r="Q19" s="726"/>
      <c r="R19" s="726"/>
      <c r="S19" s="726"/>
      <c r="T19" s="727"/>
      <c r="U19" s="719">
        <f>'Budget Period 4'!U19*(1+IF(L19="PI",Data_SalaryInflationRatePI,Data_SalaryInflationRate))</f>
        <v>0</v>
      </c>
      <c r="V19" s="720"/>
      <c r="W19" s="720"/>
      <c r="X19" s="721"/>
      <c r="Y19" s="114">
        <v>1</v>
      </c>
      <c r="Z19" s="129"/>
      <c r="AA19" s="326" t="str">
        <f t="shared" si="0"/>
        <v/>
      </c>
      <c r="AB19" s="434"/>
      <c r="AC19" s="436"/>
      <c r="AD19" s="625"/>
      <c r="AE19" s="626"/>
      <c r="AF19" s="626"/>
      <c r="AG19" s="535">
        <f t="shared" si="1"/>
        <v>0</v>
      </c>
      <c r="AH19" s="536"/>
      <c r="AI19" s="530">
        <f>(IF(OR('Budget Period 1'!L19&lt;2,'Budget Period 1'!O19&lt;2),0,IF(OR('Budget Period 1'!O19=4,'Budget Period 1'!O19=5),U19*2080/12*AB19*AD19,(U19/(CHOOSE('Budget Period 1'!O19,0,9,12,0,0))*AB19*AD19))))</f>
        <v>0</v>
      </c>
      <c r="AJ19" s="531"/>
      <c r="AK19" s="531"/>
      <c r="AL19" s="532"/>
      <c r="AM19" s="783">
        <f>IF(OR('Budget Period 1'!L19&lt;2,'Budget Period 1'!O19&lt;2),0,IF('Budget Period 1'!L19=4,FringeRate_Y5_PostDoc,CHOOSE('Budget Period 1'!O19,0,FringeRate_Y5_Faculty,FringeRate_Y5_Faculty,FringeRate_Y5_Classified,FringeRate_Y5_LTE)))</f>
        <v>0</v>
      </c>
      <c r="AN19" s="784"/>
      <c r="AO19" s="785">
        <f t="shared" si="2"/>
        <v>0</v>
      </c>
      <c r="AP19" s="786"/>
      <c r="AQ19" s="530">
        <f t="shared" si="3"/>
        <v>0</v>
      </c>
      <c r="AR19" s="531"/>
      <c r="AS19" s="531"/>
      <c r="AT19" s="612"/>
      <c r="AU19" s="137"/>
      <c r="AV19" s="10"/>
    </row>
    <row r="20" spans="2:48" ht="18" customHeight="1" thickBot="1" x14ac:dyDescent="0.25">
      <c r="B20" s="10"/>
      <c r="C20" s="137"/>
      <c r="D20" s="137"/>
      <c r="E20" s="149" t="s">
        <v>141</v>
      </c>
      <c r="F20" s="722">
        <f>'Budget Period 1'!F20:K20</f>
        <v>0</v>
      </c>
      <c r="G20" s="723"/>
      <c r="H20" s="723"/>
      <c r="I20" s="723"/>
      <c r="J20" s="723"/>
      <c r="K20" s="724"/>
      <c r="L20" s="725" t="str">
        <f>CHOOSE('Budget Period 1'!L20,"",'Drop-Down_Options'!$B$25,'Drop-Down_Options'!$B$26,'Drop-Down_Options'!$B$27,'Drop-Down_Options'!$B$28)</f>
        <v/>
      </c>
      <c r="M20" s="726"/>
      <c r="N20" s="727"/>
      <c r="O20" s="725" t="str">
        <f>CHOOSE('Budget Period 1'!O20,"",'Drop-Down_Options'!$B$35,'Drop-Down_Options'!$B$36,"Classified","LTE")</f>
        <v/>
      </c>
      <c r="P20" s="726"/>
      <c r="Q20" s="726"/>
      <c r="R20" s="726"/>
      <c r="S20" s="726"/>
      <c r="T20" s="727"/>
      <c r="U20" s="719">
        <f>'Budget Period 4'!U20*(1+IF(L20="PI",Data_SalaryInflationRatePI,Data_SalaryInflationRate))</f>
        <v>0</v>
      </c>
      <c r="V20" s="720"/>
      <c r="W20" s="720"/>
      <c r="X20" s="721"/>
      <c r="Y20" s="114">
        <v>1</v>
      </c>
      <c r="Z20" s="129"/>
      <c r="AA20" s="326" t="str">
        <f t="shared" si="0"/>
        <v/>
      </c>
      <c r="AB20" s="434"/>
      <c r="AC20" s="436"/>
      <c r="AD20" s="625"/>
      <c r="AE20" s="626"/>
      <c r="AF20" s="626"/>
      <c r="AG20" s="535">
        <f t="shared" si="1"/>
        <v>0</v>
      </c>
      <c r="AH20" s="536"/>
      <c r="AI20" s="530">
        <f>(IF(OR('Budget Period 1'!L20&lt;2,'Budget Period 1'!O20&lt;2),0,IF(OR('Budget Period 1'!O20=4,'Budget Period 1'!O20=5),U20*2080/12*AB20*AD20,(U20/(CHOOSE('Budget Period 1'!O20,0,9,12,0,0))*AB20*AD20))))</f>
        <v>0</v>
      </c>
      <c r="AJ20" s="531"/>
      <c r="AK20" s="531"/>
      <c r="AL20" s="532"/>
      <c r="AM20" s="783">
        <f>IF(OR('Budget Period 1'!L20&lt;2,'Budget Period 1'!O20&lt;2),0,IF('Budget Period 1'!L20=4,FringeRate_Y5_PostDoc,CHOOSE('Budget Period 1'!O20,0,FringeRate_Y5_Faculty,FringeRate_Y5_Faculty,FringeRate_Y5_Classified,FringeRate_Y5_LTE)))</f>
        <v>0</v>
      </c>
      <c r="AN20" s="784"/>
      <c r="AO20" s="785">
        <f t="shared" si="2"/>
        <v>0</v>
      </c>
      <c r="AP20" s="786"/>
      <c r="AQ20" s="530">
        <f t="shared" si="3"/>
        <v>0</v>
      </c>
      <c r="AR20" s="531"/>
      <c r="AS20" s="531"/>
      <c r="AT20" s="612"/>
      <c r="AU20" s="137"/>
      <c r="AV20" s="10"/>
    </row>
    <row r="21" spans="2:48" ht="18" customHeight="1" thickBot="1" x14ac:dyDescent="0.25">
      <c r="B21" s="10"/>
      <c r="C21" s="137"/>
      <c r="D21" s="137"/>
      <c r="E21" s="149" t="s">
        <v>100</v>
      </c>
      <c r="F21" s="722">
        <f>'Budget Period 1'!F21:K21</f>
        <v>0</v>
      </c>
      <c r="G21" s="723"/>
      <c r="H21" s="723"/>
      <c r="I21" s="723"/>
      <c r="J21" s="723"/>
      <c r="K21" s="724"/>
      <c r="L21" s="725" t="str">
        <f>CHOOSE('Budget Period 1'!L21,"",'Drop-Down_Options'!$B$25,'Drop-Down_Options'!$B$26,'Drop-Down_Options'!$B$27,'Drop-Down_Options'!$B$28)</f>
        <v/>
      </c>
      <c r="M21" s="726"/>
      <c r="N21" s="727"/>
      <c r="O21" s="725" t="str">
        <f>CHOOSE('Budget Period 1'!O21,"",'Drop-Down_Options'!$B$35,'Drop-Down_Options'!$B$36,"Classified","LTE")</f>
        <v/>
      </c>
      <c r="P21" s="726"/>
      <c r="Q21" s="726"/>
      <c r="R21" s="726"/>
      <c r="S21" s="726"/>
      <c r="T21" s="727"/>
      <c r="U21" s="719">
        <f>'Budget Period 4'!U21*(1+IF(L21="PI",Data_SalaryInflationRatePI,Data_SalaryInflationRate))</f>
        <v>0</v>
      </c>
      <c r="V21" s="720"/>
      <c r="W21" s="720"/>
      <c r="X21" s="721"/>
      <c r="Y21" s="114">
        <v>1</v>
      </c>
      <c r="Z21" s="129"/>
      <c r="AA21" s="326" t="str">
        <f t="shared" si="0"/>
        <v/>
      </c>
      <c r="AB21" s="434"/>
      <c r="AC21" s="436"/>
      <c r="AD21" s="625"/>
      <c r="AE21" s="626"/>
      <c r="AF21" s="626"/>
      <c r="AG21" s="535">
        <f t="shared" si="1"/>
        <v>0</v>
      </c>
      <c r="AH21" s="536"/>
      <c r="AI21" s="530">
        <f>(IF(OR('Budget Period 1'!L21&lt;2,'Budget Period 1'!O21&lt;2),0,IF(OR('Budget Period 1'!O21=4,'Budget Period 1'!O21=5),U21*2080/12*AB21*AD21,(U21/(CHOOSE('Budget Period 1'!O21,0,9,12,0,0))*AB21*AD21))))</f>
        <v>0</v>
      </c>
      <c r="AJ21" s="531"/>
      <c r="AK21" s="531"/>
      <c r="AL21" s="532"/>
      <c r="AM21" s="783">
        <f>IF(OR('Budget Period 1'!L21&lt;2,'Budget Period 1'!O21&lt;2),0,IF('Budget Period 1'!L21=4,FringeRate_Y5_PostDoc,CHOOSE('Budget Period 1'!O21,0,FringeRate_Y5_Faculty,FringeRate_Y5_Faculty,FringeRate_Y5_Classified,FringeRate_Y5_LTE)))</f>
        <v>0</v>
      </c>
      <c r="AN21" s="784"/>
      <c r="AO21" s="785">
        <f t="shared" si="2"/>
        <v>0</v>
      </c>
      <c r="AP21" s="786"/>
      <c r="AQ21" s="530">
        <f t="shared" si="3"/>
        <v>0</v>
      </c>
      <c r="AR21" s="531"/>
      <c r="AS21" s="531"/>
      <c r="AT21" s="612"/>
      <c r="AU21" s="137"/>
      <c r="AV21" s="10"/>
    </row>
    <row r="22" spans="2:48" ht="18" customHeight="1" thickBot="1" x14ac:dyDescent="0.25">
      <c r="B22" s="10"/>
      <c r="C22" s="137"/>
      <c r="D22" s="137"/>
      <c r="E22" s="149" t="s">
        <v>101</v>
      </c>
      <c r="F22" s="722">
        <f>'Budget Period 1'!F22:K22</f>
        <v>0</v>
      </c>
      <c r="G22" s="723"/>
      <c r="H22" s="723"/>
      <c r="I22" s="723"/>
      <c r="J22" s="723"/>
      <c r="K22" s="724"/>
      <c r="L22" s="725" t="str">
        <f>CHOOSE('Budget Period 1'!L22,"",'Drop-Down_Options'!$B$25,'Drop-Down_Options'!$B$26,'Drop-Down_Options'!$B$27,'Drop-Down_Options'!$B$28)</f>
        <v/>
      </c>
      <c r="M22" s="726"/>
      <c r="N22" s="727"/>
      <c r="O22" s="725" t="str">
        <f>CHOOSE('Budget Period 1'!O22,"",'Drop-Down_Options'!$B$35,'Drop-Down_Options'!$B$36,"Classified","LTE")</f>
        <v/>
      </c>
      <c r="P22" s="726"/>
      <c r="Q22" s="726"/>
      <c r="R22" s="726"/>
      <c r="S22" s="726"/>
      <c r="T22" s="727"/>
      <c r="U22" s="719">
        <f>'Budget Period 4'!U22*(1+IF(L22="PI",Data_SalaryInflationRatePI,Data_SalaryInflationRate))</f>
        <v>0</v>
      </c>
      <c r="V22" s="720"/>
      <c r="W22" s="720"/>
      <c r="X22" s="721"/>
      <c r="Y22" s="114">
        <v>1</v>
      </c>
      <c r="Z22" s="129"/>
      <c r="AA22" s="326" t="str">
        <f t="shared" si="0"/>
        <v/>
      </c>
      <c r="AB22" s="434"/>
      <c r="AC22" s="436"/>
      <c r="AD22" s="625"/>
      <c r="AE22" s="626"/>
      <c r="AF22" s="626"/>
      <c r="AG22" s="535">
        <f t="shared" si="1"/>
        <v>0</v>
      </c>
      <c r="AH22" s="536"/>
      <c r="AI22" s="530">
        <f>(IF(OR('Budget Period 1'!L22&lt;2,'Budget Period 1'!O22&lt;2),0,IF(OR('Budget Period 1'!O22=4,'Budget Period 1'!O22=5),U22*2080/12*AB22*AD22,(U22/(CHOOSE('Budget Period 1'!O22,0,9,12,0,0))*AB22*AD22))))</f>
        <v>0</v>
      </c>
      <c r="AJ22" s="531"/>
      <c r="AK22" s="531"/>
      <c r="AL22" s="532"/>
      <c r="AM22" s="783">
        <f>IF(OR('Budget Period 1'!L22&lt;2,'Budget Period 1'!O22&lt;2),0,IF('Budget Period 1'!L22=4,FringeRate_Y5_PostDoc,CHOOSE('Budget Period 1'!O22,0,FringeRate_Y5_Faculty,FringeRate_Y5_Faculty,FringeRate_Y5_Classified,FringeRate_Y5_LTE)))</f>
        <v>0</v>
      </c>
      <c r="AN22" s="784"/>
      <c r="AO22" s="785">
        <f t="shared" si="2"/>
        <v>0</v>
      </c>
      <c r="AP22" s="786"/>
      <c r="AQ22" s="530">
        <f t="shared" si="3"/>
        <v>0</v>
      </c>
      <c r="AR22" s="531"/>
      <c r="AS22" s="531"/>
      <c r="AT22" s="612"/>
      <c r="AU22" s="137"/>
      <c r="AV22" s="10"/>
    </row>
    <row r="23" spans="2:48" ht="18" customHeight="1" thickBot="1" x14ac:dyDescent="0.25">
      <c r="B23" s="10"/>
      <c r="C23" s="137"/>
      <c r="D23" s="137"/>
      <c r="E23" s="149" t="s">
        <v>102</v>
      </c>
      <c r="F23" s="722">
        <f>'Budget Period 1'!F23:K23</f>
        <v>0</v>
      </c>
      <c r="G23" s="723"/>
      <c r="H23" s="723"/>
      <c r="I23" s="723"/>
      <c r="J23" s="723"/>
      <c r="K23" s="724"/>
      <c r="L23" s="725" t="str">
        <f>CHOOSE('Budget Period 1'!L23,"",'Drop-Down_Options'!$B$25,'Drop-Down_Options'!$B$26,'Drop-Down_Options'!$B$27,'Drop-Down_Options'!$B$28)</f>
        <v/>
      </c>
      <c r="M23" s="726"/>
      <c r="N23" s="727"/>
      <c r="O23" s="725" t="str">
        <f>CHOOSE('Budget Period 1'!O23,"",'Drop-Down_Options'!$B$35,'Drop-Down_Options'!$B$36,"Classified","LTE")</f>
        <v/>
      </c>
      <c r="P23" s="726"/>
      <c r="Q23" s="726"/>
      <c r="R23" s="726"/>
      <c r="S23" s="726"/>
      <c r="T23" s="727"/>
      <c r="U23" s="719">
        <f>'Budget Period 4'!U23*(1+IF(L23="PI",Data_SalaryInflationRatePI,Data_SalaryInflationRate))</f>
        <v>0</v>
      </c>
      <c r="V23" s="720"/>
      <c r="W23" s="720"/>
      <c r="X23" s="721"/>
      <c r="Y23" s="114">
        <v>1</v>
      </c>
      <c r="Z23" s="129"/>
      <c r="AA23" s="326" t="str">
        <f t="shared" si="0"/>
        <v/>
      </c>
      <c r="AB23" s="434"/>
      <c r="AC23" s="436"/>
      <c r="AD23" s="625"/>
      <c r="AE23" s="626"/>
      <c r="AF23" s="626"/>
      <c r="AG23" s="535">
        <f t="shared" si="1"/>
        <v>0</v>
      </c>
      <c r="AH23" s="536"/>
      <c r="AI23" s="530">
        <f>(IF(OR('Budget Period 1'!L23&lt;2,'Budget Period 1'!O23&lt;2),0,IF(OR('Budget Period 1'!O23=4,'Budget Period 1'!O23=5),U23*2080/12*AB23*AD23,(U23/(CHOOSE('Budget Period 1'!O23,0,9,12,0,0))*AB23*AD23))))</f>
        <v>0</v>
      </c>
      <c r="AJ23" s="531"/>
      <c r="AK23" s="531"/>
      <c r="AL23" s="532"/>
      <c r="AM23" s="783">
        <f>IF(OR('Budget Period 1'!L23&lt;2,'Budget Period 1'!O23&lt;2),0,IF('Budget Period 1'!L23=4,FringeRate_Y5_PostDoc,CHOOSE('Budget Period 1'!O23,0,FringeRate_Y5_Faculty,FringeRate_Y5_Faculty,FringeRate_Y5_Classified,FringeRate_Y5_LTE)))</f>
        <v>0</v>
      </c>
      <c r="AN23" s="784"/>
      <c r="AO23" s="785">
        <f t="shared" si="2"/>
        <v>0</v>
      </c>
      <c r="AP23" s="786"/>
      <c r="AQ23" s="530">
        <f t="shared" si="3"/>
        <v>0</v>
      </c>
      <c r="AR23" s="531"/>
      <c r="AS23" s="531"/>
      <c r="AT23" s="612"/>
      <c r="AU23" s="137"/>
      <c r="AV23" s="10"/>
    </row>
    <row r="24" spans="2:48" ht="18" customHeight="1" thickBot="1" x14ac:dyDescent="0.25">
      <c r="B24" s="10"/>
      <c r="C24" s="137"/>
      <c r="D24" s="137"/>
      <c r="E24" s="149" t="s">
        <v>103</v>
      </c>
      <c r="F24" s="722">
        <f>'Budget Period 1'!F24:K24</f>
        <v>0</v>
      </c>
      <c r="G24" s="723"/>
      <c r="H24" s="723"/>
      <c r="I24" s="723"/>
      <c r="J24" s="723"/>
      <c r="K24" s="724"/>
      <c r="L24" s="725" t="str">
        <f>CHOOSE('Budget Period 1'!L24,"",'Drop-Down_Options'!$B$25,'Drop-Down_Options'!$B$26,'Drop-Down_Options'!$B$27,'Drop-Down_Options'!$B$28)</f>
        <v/>
      </c>
      <c r="M24" s="726"/>
      <c r="N24" s="727"/>
      <c r="O24" s="725" t="str">
        <f>CHOOSE('Budget Period 1'!O24,"",'Drop-Down_Options'!$B$35,'Drop-Down_Options'!$B$36,"Classified","LTE")</f>
        <v/>
      </c>
      <c r="P24" s="726"/>
      <c r="Q24" s="726"/>
      <c r="R24" s="726"/>
      <c r="S24" s="726"/>
      <c r="T24" s="727"/>
      <c r="U24" s="719">
        <f>'Budget Period 4'!U24*(1+IF(L24="PI",Data_SalaryInflationRatePI,Data_SalaryInflationRate))</f>
        <v>0</v>
      </c>
      <c r="V24" s="720"/>
      <c r="W24" s="720"/>
      <c r="X24" s="721"/>
      <c r="Y24" s="114">
        <v>1</v>
      </c>
      <c r="Z24" s="129"/>
      <c r="AA24" s="326" t="str">
        <f t="shared" si="0"/>
        <v/>
      </c>
      <c r="AB24" s="434"/>
      <c r="AC24" s="436"/>
      <c r="AD24" s="625"/>
      <c r="AE24" s="626"/>
      <c r="AF24" s="626"/>
      <c r="AG24" s="535">
        <f t="shared" si="1"/>
        <v>0</v>
      </c>
      <c r="AH24" s="536"/>
      <c r="AI24" s="530">
        <f>(IF(OR('Budget Period 1'!L24&lt;2,'Budget Period 1'!O24&lt;2),0,IF(OR('Budget Period 1'!O24=4,'Budget Period 1'!O24=5),U24*2080/12*AB24*AD24,(U24/(CHOOSE('Budget Period 1'!O24,0,9,12,0,0))*AB24*AD24))))</f>
        <v>0</v>
      </c>
      <c r="AJ24" s="531"/>
      <c r="AK24" s="531"/>
      <c r="AL24" s="532"/>
      <c r="AM24" s="783">
        <f>IF(OR('Budget Period 1'!L24&lt;2,'Budget Period 1'!O24&lt;2),0,IF('Budget Period 1'!L24=4,FringeRate_Y5_PostDoc,CHOOSE('Budget Period 1'!O24,0,FringeRate_Y5_Faculty,FringeRate_Y5_Faculty,FringeRate_Y5_Classified,FringeRate_Y5_LTE)))</f>
        <v>0</v>
      </c>
      <c r="AN24" s="784"/>
      <c r="AO24" s="785">
        <f t="shared" si="2"/>
        <v>0</v>
      </c>
      <c r="AP24" s="786"/>
      <c r="AQ24" s="530">
        <f t="shared" si="3"/>
        <v>0</v>
      </c>
      <c r="AR24" s="531"/>
      <c r="AS24" s="531"/>
      <c r="AT24" s="612"/>
      <c r="AU24" s="137"/>
      <c r="AV24" s="10"/>
    </row>
    <row r="25" spans="2:48" ht="18" customHeight="1" thickBot="1" x14ac:dyDescent="0.25">
      <c r="B25" s="10"/>
      <c r="C25" s="137"/>
      <c r="D25" s="137"/>
      <c r="E25" s="149" t="s">
        <v>104</v>
      </c>
      <c r="F25" s="722">
        <f>'Budget Period 1'!F25:K25</f>
        <v>0</v>
      </c>
      <c r="G25" s="723"/>
      <c r="H25" s="723"/>
      <c r="I25" s="723"/>
      <c r="J25" s="723"/>
      <c r="K25" s="724"/>
      <c r="L25" s="725" t="str">
        <f>CHOOSE('Budget Period 1'!L25,"",'Drop-Down_Options'!$B$25,'Drop-Down_Options'!$B$26,'Drop-Down_Options'!$B$27,'Drop-Down_Options'!$B$28)</f>
        <v/>
      </c>
      <c r="M25" s="726"/>
      <c r="N25" s="727"/>
      <c r="O25" s="725" t="str">
        <f>CHOOSE('Budget Period 1'!O25,"",'Drop-Down_Options'!$B$35,'Drop-Down_Options'!$B$36,"Classified","LTE")</f>
        <v/>
      </c>
      <c r="P25" s="726"/>
      <c r="Q25" s="726"/>
      <c r="R25" s="726"/>
      <c r="S25" s="726"/>
      <c r="T25" s="727"/>
      <c r="U25" s="719">
        <f>'Budget Period 4'!U25*(1+IF(L25="PI",Data_SalaryInflationRatePI,Data_SalaryInflationRate))</f>
        <v>0</v>
      </c>
      <c r="V25" s="720"/>
      <c r="W25" s="720"/>
      <c r="X25" s="721"/>
      <c r="Y25" s="114">
        <v>1</v>
      </c>
      <c r="Z25" s="129"/>
      <c r="AA25" s="326" t="str">
        <f t="shared" si="0"/>
        <v/>
      </c>
      <c r="AB25" s="434"/>
      <c r="AC25" s="436"/>
      <c r="AD25" s="625"/>
      <c r="AE25" s="626"/>
      <c r="AF25" s="626"/>
      <c r="AG25" s="535">
        <f t="shared" si="1"/>
        <v>0</v>
      </c>
      <c r="AH25" s="536"/>
      <c r="AI25" s="530">
        <f>(IF(OR('Budget Period 1'!L25&lt;2,'Budget Period 1'!O25&lt;2),0,IF(OR('Budget Period 1'!O25=4,'Budget Period 1'!O25=5),U25*2080/12*AB25*AD25,(U25/(CHOOSE('Budget Period 1'!O25,0,9,12,0,0))*AB25*AD25))))</f>
        <v>0</v>
      </c>
      <c r="AJ25" s="531"/>
      <c r="AK25" s="531"/>
      <c r="AL25" s="532"/>
      <c r="AM25" s="783">
        <f>IF(OR('Budget Period 1'!L25&lt;2,'Budget Period 1'!O25&lt;2),0,IF('Budget Period 1'!L25=4,FringeRate_Y5_PostDoc,CHOOSE('Budget Period 1'!O25,0,FringeRate_Y5_Faculty,FringeRate_Y5_Faculty,FringeRate_Y5_Classified,FringeRate_Y5_LTE)))</f>
        <v>0</v>
      </c>
      <c r="AN25" s="784"/>
      <c r="AO25" s="785">
        <f t="shared" si="2"/>
        <v>0</v>
      </c>
      <c r="AP25" s="786"/>
      <c r="AQ25" s="530">
        <f t="shared" si="3"/>
        <v>0</v>
      </c>
      <c r="AR25" s="531"/>
      <c r="AS25" s="531"/>
      <c r="AT25" s="612"/>
      <c r="AU25" s="137"/>
      <c r="AV25" s="10"/>
    </row>
    <row r="26" spans="2:48" ht="18" customHeight="1" thickBot="1" x14ac:dyDescent="0.25">
      <c r="B26" s="10"/>
      <c r="C26" s="137"/>
      <c r="D26" s="137"/>
      <c r="E26" s="149" t="s">
        <v>105</v>
      </c>
      <c r="F26" s="722">
        <f>'Budget Period 1'!F26:K26</f>
        <v>0</v>
      </c>
      <c r="G26" s="723"/>
      <c r="H26" s="723"/>
      <c r="I26" s="723"/>
      <c r="J26" s="723"/>
      <c r="K26" s="724"/>
      <c r="L26" s="725" t="str">
        <f>CHOOSE('Budget Period 1'!L26,"",'Drop-Down_Options'!$B$25,'Drop-Down_Options'!$B$26,'Drop-Down_Options'!$B$27,'Drop-Down_Options'!$B$28)</f>
        <v/>
      </c>
      <c r="M26" s="726"/>
      <c r="N26" s="727"/>
      <c r="O26" s="725" t="str">
        <f>CHOOSE('Budget Period 1'!O26,"",'Drop-Down_Options'!$B$35,'Drop-Down_Options'!$B$36,"Classified","LTE")</f>
        <v/>
      </c>
      <c r="P26" s="726"/>
      <c r="Q26" s="726"/>
      <c r="R26" s="726"/>
      <c r="S26" s="726"/>
      <c r="T26" s="727"/>
      <c r="U26" s="719">
        <f>'Budget Period 4'!U26*(1+IF(L26="PI",Data_SalaryInflationRatePI,Data_SalaryInflationRate))</f>
        <v>0</v>
      </c>
      <c r="V26" s="720"/>
      <c r="W26" s="720"/>
      <c r="X26" s="721"/>
      <c r="Y26" s="114">
        <v>1</v>
      </c>
      <c r="Z26" s="129"/>
      <c r="AA26" s="326" t="str">
        <f t="shared" si="0"/>
        <v/>
      </c>
      <c r="AB26" s="434"/>
      <c r="AC26" s="436"/>
      <c r="AD26" s="625"/>
      <c r="AE26" s="626"/>
      <c r="AF26" s="626"/>
      <c r="AG26" s="535">
        <f t="shared" si="1"/>
        <v>0</v>
      </c>
      <c r="AH26" s="536"/>
      <c r="AI26" s="530">
        <f>(IF(OR('Budget Period 1'!L26&lt;2,'Budget Period 1'!O26&lt;2),0,IF(OR('Budget Period 1'!O26=4,'Budget Period 1'!O26=5),U26*2080/12*AB26*AD26,(U26/(CHOOSE('Budget Period 1'!O26,0,9,12,0,0))*AB26*AD26))))</f>
        <v>0</v>
      </c>
      <c r="AJ26" s="531"/>
      <c r="AK26" s="531"/>
      <c r="AL26" s="532"/>
      <c r="AM26" s="783">
        <f>IF(OR('Budget Period 1'!L26&lt;2,'Budget Period 1'!O26&lt;2),0,IF('Budget Period 1'!L26=4,FringeRate_Y5_PostDoc,CHOOSE('Budget Period 1'!O26,0,FringeRate_Y5_Faculty,FringeRate_Y5_Faculty,FringeRate_Y5_Classified,FringeRate_Y5_LTE)))</f>
        <v>0</v>
      </c>
      <c r="AN26" s="784"/>
      <c r="AO26" s="785">
        <f t="shared" si="2"/>
        <v>0</v>
      </c>
      <c r="AP26" s="786"/>
      <c r="AQ26" s="530">
        <f t="shared" si="3"/>
        <v>0</v>
      </c>
      <c r="AR26" s="531"/>
      <c r="AS26" s="531"/>
      <c r="AT26" s="612"/>
      <c r="AU26" s="137"/>
      <c r="AV26" s="10"/>
    </row>
    <row r="27" spans="2:48" ht="18" customHeight="1" thickBot="1" x14ac:dyDescent="0.25">
      <c r="B27" s="10"/>
      <c r="C27" s="137"/>
      <c r="D27" s="137"/>
      <c r="E27" s="149" t="s">
        <v>106</v>
      </c>
      <c r="F27" s="722">
        <f>'Budget Period 1'!F27:K27</f>
        <v>0</v>
      </c>
      <c r="G27" s="723"/>
      <c r="H27" s="723"/>
      <c r="I27" s="723"/>
      <c r="J27" s="723"/>
      <c r="K27" s="724"/>
      <c r="L27" s="725" t="str">
        <f>CHOOSE('Budget Period 1'!L27,"",'Drop-Down_Options'!$B$25,'Drop-Down_Options'!$B$26,'Drop-Down_Options'!$B$27,'Drop-Down_Options'!$B$28)</f>
        <v/>
      </c>
      <c r="M27" s="726"/>
      <c r="N27" s="727"/>
      <c r="O27" s="725" t="str">
        <f>CHOOSE('Budget Period 1'!O27,"",'Drop-Down_Options'!$B$35,'Drop-Down_Options'!$B$36,"Classified","LTE")</f>
        <v/>
      </c>
      <c r="P27" s="726"/>
      <c r="Q27" s="726"/>
      <c r="R27" s="726"/>
      <c r="S27" s="726"/>
      <c r="T27" s="727"/>
      <c r="U27" s="719">
        <f>'Budget Period 4'!U27*(1+IF(L27="PI",Data_SalaryInflationRatePI,Data_SalaryInflationRate))</f>
        <v>0</v>
      </c>
      <c r="V27" s="720"/>
      <c r="W27" s="720"/>
      <c r="X27" s="721"/>
      <c r="Y27" s="114">
        <v>1</v>
      </c>
      <c r="Z27" s="129"/>
      <c r="AA27" s="326" t="str">
        <f t="shared" si="0"/>
        <v/>
      </c>
      <c r="AB27" s="434"/>
      <c r="AC27" s="436"/>
      <c r="AD27" s="625"/>
      <c r="AE27" s="626"/>
      <c r="AF27" s="626"/>
      <c r="AG27" s="535">
        <f t="shared" si="1"/>
        <v>0</v>
      </c>
      <c r="AH27" s="536"/>
      <c r="AI27" s="530">
        <f>(IF(OR('Budget Period 1'!L27&lt;2,'Budget Period 1'!O27&lt;2),0,IF(OR('Budget Period 1'!O27=4,'Budget Period 1'!O27=5),U27*2080/12*AB27*AD27,(U27/(CHOOSE('Budget Period 1'!O27,0,9,12,0,0))*AB27*AD27))))</f>
        <v>0</v>
      </c>
      <c r="AJ27" s="531"/>
      <c r="AK27" s="531"/>
      <c r="AL27" s="532"/>
      <c r="AM27" s="783">
        <f>IF(OR('Budget Period 1'!L27&lt;2,'Budget Period 1'!O27&lt;2),0,IF('Budget Period 1'!L27=4,FringeRate_Y5_PostDoc,CHOOSE('Budget Period 1'!O27,0,FringeRate_Y5_Faculty,FringeRate_Y5_Faculty,FringeRate_Y5_Classified,FringeRate_Y5_LTE)))</f>
        <v>0</v>
      </c>
      <c r="AN27" s="784"/>
      <c r="AO27" s="785">
        <f t="shared" si="2"/>
        <v>0</v>
      </c>
      <c r="AP27" s="786"/>
      <c r="AQ27" s="530">
        <f t="shared" si="3"/>
        <v>0</v>
      </c>
      <c r="AR27" s="531"/>
      <c r="AS27" s="531"/>
      <c r="AT27" s="612"/>
      <c r="AU27" s="137"/>
      <c r="AV27" s="10"/>
    </row>
    <row r="28" spans="2:48" ht="18" customHeight="1" thickBot="1" x14ac:dyDescent="0.25">
      <c r="B28" s="10"/>
      <c r="C28" s="137"/>
      <c r="D28" s="137"/>
      <c r="E28" s="149" t="s">
        <v>107</v>
      </c>
      <c r="F28" s="722">
        <f>'Budget Period 1'!F28:K28</f>
        <v>0</v>
      </c>
      <c r="G28" s="723"/>
      <c r="H28" s="723"/>
      <c r="I28" s="723"/>
      <c r="J28" s="723"/>
      <c r="K28" s="724"/>
      <c r="L28" s="725" t="str">
        <f>CHOOSE('Budget Period 1'!L28,"",'Drop-Down_Options'!$B$25,'Drop-Down_Options'!$B$26,'Drop-Down_Options'!$B$27,'Drop-Down_Options'!$B$28)</f>
        <v/>
      </c>
      <c r="M28" s="726"/>
      <c r="N28" s="727"/>
      <c r="O28" s="725" t="str">
        <f>CHOOSE('Budget Period 1'!O28,"",'Drop-Down_Options'!$B$35,'Drop-Down_Options'!$B$36,"Classified","LTE")</f>
        <v/>
      </c>
      <c r="P28" s="726"/>
      <c r="Q28" s="726"/>
      <c r="R28" s="726"/>
      <c r="S28" s="726"/>
      <c r="T28" s="727"/>
      <c r="U28" s="719">
        <f>'Budget Period 4'!U28*(1+IF(L28="PI",Data_SalaryInflationRatePI,Data_SalaryInflationRate))</f>
        <v>0</v>
      </c>
      <c r="V28" s="720"/>
      <c r="W28" s="720"/>
      <c r="X28" s="721"/>
      <c r="Y28" s="114">
        <v>1</v>
      </c>
      <c r="Z28" s="129"/>
      <c r="AA28" s="326" t="str">
        <f t="shared" si="0"/>
        <v/>
      </c>
      <c r="AB28" s="434"/>
      <c r="AC28" s="436"/>
      <c r="AD28" s="625"/>
      <c r="AE28" s="626"/>
      <c r="AF28" s="626"/>
      <c r="AG28" s="535">
        <f t="shared" si="1"/>
        <v>0</v>
      </c>
      <c r="AH28" s="536"/>
      <c r="AI28" s="530">
        <f>(IF(OR('Budget Period 1'!L28&lt;2,'Budget Period 1'!O28&lt;2),0,IF(OR('Budget Period 1'!O28=4,'Budget Period 1'!O28=5),U28*2080/12*AB28*AD28,(U28/(CHOOSE('Budget Period 1'!O28,0,9,12,0,0))*AB28*AD28))))</f>
        <v>0</v>
      </c>
      <c r="AJ28" s="531"/>
      <c r="AK28" s="531"/>
      <c r="AL28" s="532"/>
      <c r="AM28" s="783">
        <f>IF(OR('Budget Period 1'!L28&lt;2,'Budget Period 1'!O28&lt;2),0,IF('Budget Period 1'!L28=4,FringeRate_Y5_PostDoc,CHOOSE('Budget Period 1'!O28,0,FringeRate_Y5_Faculty,FringeRate_Y5_Faculty,FringeRate_Y5_Classified,FringeRate_Y5_LTE)))</f>
        <v>0</v>
      </c>
      <c r="AN28" s="784"/>
      <c r="AO28" s="785">
        <f t="shared" si="2"/>
        <v>0</v>
      </c>
      <c r="AP28" s="786"/>
      <c r="AQ28" s="530">
        <f t="shared" si="3"/>
        <v>0</v>
      </c>
      <c r="AR28" s="531"/>
      <c r="AS28" s="531"/>
      <c r="AT28" s="612"/>
      <c r="AU28" s="137"/>
      <c r="AV28" s="10"/>
    </row>
    <row r="29" spans="2:48" ht="18" customHeight="1" thickBot="1" x14ac:dyDescent="0.25">
      <c r="B29" s="10"/>
      <c r="C29" s="137"/>
      <c r="D29" s="137"/>
      <c r="E29" s="149" t="s">
        <v>108</v>
      </c>
      <c r="F29" s="722">
        <f>'Budget Period 1'!F29:K29</f>
        <v>0</v>
      </c>
      <c r="G29" s="723"/>
      <c r="H29" s="723"/>
      <c r="I29" s="723"/>
      <c r="J29" s="723"/>
      <c r="K29" s="724"/>
      <c r="L29" s="725" t="str">
        <f>CHOOSE('Budget Period 1'!L29,"",'Drop-Down_Options'!$B$25,'Drop-Down_Options'!$B$26,'Drop-Down_Options'!$B$27,'Drop-Down_Options'!$B$28)</f>
        <v/>
      </c>
      <c r="M29" s="726"/>
      <c r="N29" s="727"/>
      <c r="O29" s="725" t="str">
        <f>CHOOSE('Budget Period 1'!O29,"",'Drop-Down_Options'!$B$35,'Drop-Down_Options'!$B$36,"Classified","LTE")</f>
        <v/>
      </c>
      <c r="P29" s="726"/>
      <c r="Q29" s="726"/>
      <c r="R29" s="726"/>
      <c r="S29" s="726"/>
      <c r="T29" s="727"/>
      <c r="U29" s="719">
        <f>'Budget Period 4'!U29*(1+IF(L29="PI",Data_SalaryInflationRatePI,Data_SalaryInflationRate))</f>
        <v>0</v>
      </c>
      <c r="V29" s="720"/>
      <c r="W29" s="720"/>
      <c r="X29" s="721"/>
      <c r="Y29" s="114">
        <v>1</v>
      </c>
      <c r="Z29" s="129"/>
      <c r="AA29" s="326" t="str">
        <f t="shared" si="0"/>
        <v/>
      </c>
      <c r="AB29" s="434"/>
      <c r="AC29" s="436"/>
      <c r="AD29" s="625"/>
      <c r="AE29" s="626"/>
      <c r="AF29" s="626"/>
      <c r="AG29" s="535">
        <f t="shared" si="1"/>
        <v>0</v>
      </c>
      <c r="AH29" s="536"/>
      <c r="AI29" s="530">
        <f>(IF(OR('Budget Period 1'!L29&lt;2,'Budget Period 1'!O29&lt;2),0,IF(OR('Budget Period 1'!O29=4,'Budget Period 1'!O29=5),U29*2080/12*AB29*AD29,(U29/(CHOOSE('Budget Period 1'!O29,0,9,12,0,0))*AB29*AD29))))</f>
        <v>0</v>
      </c>
      <c r="AJ29" s="531"/>
      <c r="AK29" s="531"/>
      <c r="AL29" s="532"/>
      <c r="AM29" s="783">
        <f>IF(OR('Budget Period 1'!L29&lt;2,'Budget Period 1'!O29&lt;2),0,IF('Budget Period 1'!L29=4,FringeRate_Y5_PostDoc,CHOOSE('Budget Period 1'!O29,0,FringeRate_Y5_Faculty,FringeRate_Y5_Faculty,FringeRate_Y5_Classified,FringeRate_Y5_LTE)))</f>
        <v>0</v>
      </c>
      <c r="AN29" s="784"/>
      <c r="AO29" s="785">
        <f t="shared" si="2"/>
        <v>0</v>
      </c>
      <c r="AP29" s="786"/>
      <c r="AQ29" s="530">
        <f t="shared" si="3"/>
        <v>0</v>
      </c>
      <c r="AR29" s="531"/>
      <c r="AS29" s="531"/>
      <c r="AT29" s="612"/>
      <c r="AU29" s="137"/>
      <c r="AV29" s="10"/>
    </row>
    <row r="30" spans="2:48" ht="18" customHeight="1" thickBot="1" x14ac:dyDescent="0.25">
      <c r="B30" s="10"/>
      <c r="C30" s="137"/>
      <c r="D30" s="137"/>
      <c r="E30" s="149" t="s">
        <v>109</v>
      </c>
      <c r="F30" s="728">
        <f>'Budget Period 1'!F30:K30</f>
        <v>0</v>
      </c>
      <c r="G30" s="729"/>
      <c r="H30" s="729"/>
      <c r="I30" s="729"/>
      <c r="J30" s="729"/>
      <c r="K30" s="730"/>
      <c r="L30" s="731" t="str">
        <f>CHOOSE('Budget Period 1'!L30,"",'Drop-Down_Options'!$B$25,'Drop-Down_Options'!$B$26,'Drop-Down_Options'!$B$27,'Drop-Down_Options'!$B$28)</f>
        <v/>
      </c>
      <c r="M30" s="732"/>
      <c r="N30" s="733"/>
      <c r="O30" s="731" t="str">
        <f>CHOOSE('Budget Period 1'!O30,"",'Drop-Down_Options'!$B$35,'Drop-Down_Options'!$B$36,"Classified","LTE")</f>
        <v/>
      </c>
      <c r="P30" s="732"/>
      <c r="Q30" s="732"/>
      <c r="R30" s="732"/>
      <c r="S30" s="732"/>
      <c r="T30" s="733"/>
      <c r="U30" s="734">
        <f>'Budget Period 4'!U30*(1+IF(L30="PI",Data_SalaryInflationRatePI,Data_SalaryInflationRate))</f>
        <v>0</v>
      </c>
      <c r="V30" s="735"/>
      <c r="W30" s="735"/>
      <c r="X30" s="736"/>
      <c r="Y30" s="115">
        <v>1</v>
      </c>
      <c r="Z30" s="130"/>
      <c r="AA30" s="326" t="str">
        <f t="shared" si="0"/>
        <v/>
      </c>
      <c r="AB30" s="598"/>
      <c r="AC30" s="599"/>
      <c r="AD30" s="647"/>
      <c r="AE30" s="648"/>
      <c r="AF30" s="648"/>
      <c r="AG30" s="600">
        <f t="shared" si="1"/>
        <v>0</v>
      </c>
      <c r="AH30" s="601"/>
      <c r="AI30" s="649">
        <f>(IF(OR('Budget Period 1'!L30&lt;2,'Budget Period 1'!O30&lt;2),0,IF(OR('Budget Period 1'!O30=4,'Budget Period 1'!O30=5),U30*2080/12*AB30*AD30,(U30/(CHOOSE('Budget Period 1'!O30,0,9,12,0,0))*AB30*AD30))))</f>
        <v>0</v>
      </c>
      <c r="AJ30" s="650"/>
      <c r="AK30" s="650"/>
      <c r="AL30" s="651"/>
      <c r="AM30" s="819">
        <f>IF(OR('Budget Period 1'!L30&lt;2,'Budget Period 1'!O30&lt;2),0,IF('Budget Period 1'!L30=4,FringeRate_Y5_PostDoc,CHOOSE('Budget Period 1'!O30,0,FringeRate_Y5_Faculty,FringeRate_Y5_Faculty,FringeRate_Y5_Classified,FringeRate_Y5_LTE)))</f>
        <v>0</v>
      </c>
      <c r="AN30" s="820"/>
      <c r="AO30" s="808">
        <f t="shared" si="2"/>
        <v>0</v>
      </c>
      <c r="AP30" s="809"/>
      <c r="AQ30" s="649">
        <f t="shared" si="3"/>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0">
        <f>SUM(AI11:AL30)</f>
        <v>0</v>
      </c>
      <c r="AJ32" s="811"/>
      <c r="AK32" s="811"/>
      <c r="AL32" s="812"/>
      <c r="AM32" s="154"/>
      <c r="AN32" s="154"/>
      <c r="AO32" s="810">
        <f>SUM(AO11:AP30)</f>
        <v>0</v>
      </c>
      <c r="AP32" s="811"/>
      <c r="AQ32" s="810">
        <f>SUM(AQ11:AT30)</f>
        <v>0</v>
      </c>
      <c r="AR32" s="811"/>
      <c r="AS32" s="811"/>
      <c r="AT32" s="812"/>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82" t="s">
        <v>433</v>
      </c>
      <c r="G35" s="518"/>
      <c r="H35" s="518"/>
      <c r="I35" s="518"/>
      <c r="J35" s="518"/>
      <c r="K35" s="518"/>
      <c r="L35" s="518"/>
      <c r="M35" s="518"/>
      <c r="N35" s="518"/>
      <c r="O35" s="518"/>
      <c r="P35" s="518"/>
      <c r="Q35" s="518"/>
      <c r="R35" s="518" t="s">
        <v>119</v>
      </c>
      <c r="S35" s="518"/>
      <c r="T35" s="518" t="s">
        <v>122</v>
      </c>
      <c r="U35" s="518"/>
      <c r="V35" s="518"/>
      <c r="W35" s="518"/>
      <c r="X35" s="518"/>
      <c r="Y35" s="518" t="s">
        <v>121</v>
      </c>
      <c r="Z35" s="518"/>
      <c r="AA35" s="518"/>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850"/>
      <c r="G36" s="851"/>
      <c r="H36" s="851"/>
      <c r="I36" s="851"/>
      <c r="J36" s="851"/>
      <c r="K36" s="851"/>
      <c r="L36" s="851"/>
      <c r="M36" s="851"/>
      <c r="N36" s="851"/>
      <c r="O36" s="851"/>
      <c r="P36" s="851"/>
      <c r="Q36" s="851"/>
      <c r="R36" s="851"/>
      <c r="S36" s="851"/>
      <c r="T36" s="851"/>
      <c r="U36" s="851"/>
      <c r="V36" s="851"/>
      <c r="W36" s="851"/>
      <c r="X36" s="851"/>
      <c r="Y36" s="851"/>
      <c r="Z36" s="851"/>
      <c r="AA36" s="852"/>
      <c r="AB36" s="765"/>
      <c r="AC36" s="766"/>
      <c r="AD36" s="767"/>
      <c r="AE36" s="137"/>
      <c r="AF36" s="687">
        <f>IF(OR(AB36="",Calc!F75=1),0,(AB36*TuitionRemission_GradAssistants_Y5)/IF(Calc!F75&lt;=5,1,2))</f>
        <v>0</v>
      </c>
      <c r="AG36" s="688"/>
      <c r="AH36" s="669"/>
      <c r="AI36" s="793">
        <f>IF(OR(Calc!D75=1,Calc!E75=1,Calc!F75=1),0,Calc!L75*AB36)</f>
        <v>0</v>
      </c>
      <c r="AJ36" s="802"/>
      <c r="AK36" s="802"/>
      <c r="AL36" s="794"/>
      <c r="AM36" s="800">
        <f>IF(AB36&gt;0,FringeRate_Y5_GradStudent,0)</f>
        <v>0</v>
      </c>
      <c r="AN36" s="801"/>
      <c r="AO36" s="793">
        <f>AM36*AI36</f>
        <v>0</v>
      </c>
      <c r="AP36" s="794"/>
      <c r="AQ36" s="793">
        <f>R36*T36+AC36+AF36+AI36+AO36</f>
        <v>0</v>
      </c>
      <c r="AR36" s="802"/>
      <c r="AS36" s="802"/>
      <c r="AT36" s="816"/>
      <c r="AU36" s="137"/>
      <c r="AV36" s="10"/>
    </row>
    <row r="37" spans="2:48" ht="20.100000000000001" customHeight="1" x14ac:dyDescent="0.2">
      <c r="B37" s="10"/>
      <c r="C37" s="137"/>
      <c r="D37" s="137"/>
      <c r="E37" s="342" t="s">
        <v>92</v>
      </c>
      <c r="F37" s="752"/>
      <c r="G37" s="753"/>
      <c r="H37" s="753"/>
      <c r="I37" s="753"/>
      <c r="J37" s="753"/>
      <c r="K37" s="753"/>
      <c r="L37" s="753"/>
      <c r="M37" s="753"/>
      <c r="N37" s="753"/>
      <c r="O37" s="753"/>
      <c r="P37" s="753"/>
      <c r="Q37" s="753"/>
      <c r="R37" s="753"/>
      <c r="S37" s="753"/>
      <c r="T37" s="753"/>
      <c r="U37" s="753"/>
      <c r="V37" s="753"/>
      <c r="W37" s="753"/>
      <c r="X37" s="753"/>
      <c r="Y37" s="753"/>
      <c r="Z37" s="753"/>
      <c r="AA37" s="853"/>
      <c r="AB37" s="655"/>
      <c r="AC37" s="656"/>
      <c r="AD37" s="657"/>
      <c r="AE37" s="137"/>
      <c r="AF37" s="642">
        <f>IF(OR(AB37="",Calc!F76=1),0,(AB37*TuitionRemission_GradAssistants_Y5)/IF(Calc!F76&lt;=5,1,2))</f>
        <v>0</v>
      </c>
      <c r="AG37" s="643"/>
      <c r="AH37" s="644"/>
      <c r="AI37" s="795">
        <f>IF(OR(Calc!D76=1,Calc!E76=1,Calc!F76=1),0,Calc!L76*AB37)</f>
        <v>0</v>
      </c>
      <c r="AJ37" s="803"/>
      <c r="AK37" s="803"/>
      <c r="AL37" s="796"/>
      <c r="AM37" s="804">
        <f>IF(AB37&gt;0,FringeRate_Y5_GradStudent,0)</f>
        <v>0</v>
      </c>
      <c r="AN37" s="805"/>
      <c r="AO37" s="795">
        <f t="shared" ref="AO37:AO40" si="4">AM37*AI37</f>
        <v>0</v>
      </c>
      <c r="AP37" s="796"/>
      <c r="AQ37" s="795">
        <f t="shared" ref="AQ37:AQ40" si="5">R37*T37+AC37+AF37+AI37+AO37</f>
        <v>0</v>
      </c>
      <c r="AR37" s="803"/>
      <c r="AS37" s="803"/>
      <c r="AT37" s="817"/>
      <c r="AU37" s="137"/>
      <c r="AV37" s="10"/>
    </row>
    <row r="38" spans="2:48" ht="20.100000000000001" customHeight="1" x14ac:dyDescent="0.2">
      <c r="B38" s="10"/>
      <c r="C38" s="137"/>
      <c r="D38" s="137"/>
      <c r="E38" s="342" t="s">
        <v>93</v>
      </c>
      <c r="F38" s="752"/>
      <c r="G38" s="753"/>
      <c r="H38" s="753"/>
      <c r="I38" s="753"/>
      <c r="J38" s="753"/>
      <c r="K38" s="753"/>
      <c r="L38" s="753"/>
      <c r="M38" s="753"/>
      <c r="N38" s="753"/>
      <c r="O38" s="753"/>
      <c r="P38" s="753"/>
      <c r="Q38" s="753"/>
      <c r="R38" s="753"/>
      <c r="S38" s="753"/>
      <c r="T38" s="753"/>
      <c r="U38" s="753"/>
      <c r="V38" s="753"/>
      <c r="W38" s="753"/>
      <c r="X38" s="753"/>
      <c r="Y38" s="753"/>
      <c r="Z38" s="753"/>
      <c r="AA38" s="853"/>
      <c r="AB38" s="655"/>
      <c r="AC38" s="656"/>
      <c r="AD38" s="657"/>
      <c r="AE38" s="137"/>
      <c r="AF38" s="642">
        <f>IF(OR(AB38="",Calc!F77=1),0,(AB38*TuitionRemission_GradAssistants_Y5)/IF(Calc!F77&lt;=5,1,2))</f>
        <v>0</v>
      </c>
      <c r="AG38" s="643"/>
      <c r="AH38" s="644"/>
      <c r="AI38" s="795">
        <f>IF(OR(Calc!D77=1,Calc!E77=1,Calc!F77=1),0,Calc!L77*AB38)</f>
        <v>0</v>
      </c>
      <c r="AJ38" s="803"/>
      <c r="AK38" s="803"/>
      <c r="AL38" s="796"/>
      <c r="AM38" s="804">
        <f>IF(AB38&gt;0,FringeRate_Y5_GradStudent,0)</f>
        <v>0</v>
      </c>
      <c r="AN38" s="805"/>
      <c r="AO38" s="795">
        <f t="shared" si="4"/>
        <v>0</v>
      </c>
      <c r="AP38" s="796"/>
      <c r="AQ38" s="795">
        <f t="shared" si="5"/>
        <v>0</v>
      </c>
      <c r="AR38" s="803"/>
      <c r="AS38" s="803"/>
      <c r="AT38" s="817"/>
      <c r="AU38" s="137"/>
      <c r="AV38" s="10"/>
    </row>
    <row r="39" spans="2:48" ht="20.100000000000001" customHeight="1" x14ac:dyDescent="0.2">
      <c r="B39" s="10"/>
      <c r="C39" s="137"/>
      <c r="D39" s="137"/>
      <c r="E39" s="342" t="s">
        <v>94</v>
      </c>
      <c r="F39" s="752"/>
      <c r="G39" s="753"/>
      <c r="H39" s="753"/>
      <c r="I39" s="753"/>
      <c r="J39" s="753"/>
      <c r="K39" s="753"/>
      <c r="L39" s="753"/>
      <c r="M39" s="753"/>
      <c r="N39" s="753"/>
      <c r="O39" s="753"/>
      <c r="P39" s="753"/>
      <c r="Q39" s="753"/>
      <c r="R39" s="753"/>
      <c r="S39" s="753"/>
      <c r="T39" s="753"/>
      <c r="U39" s="753"/>
      <c r="V39" s="753"/>
      <c r="W39" s="753"/>
      <c r="X39" s="753"/>
      <c r="Y39" s="753"/>
      <c r="Z39" s="753"/>
      <c r="AA39" s="853"/>
      <c r="AB39" s="655"/>
      <c r="AC39" s="656"/>
      <c r="AD39" s="657"/>
      <c r="AE39" s="137"/>
      <c r="AF39" s="642">
        <f>IF(OR(AB39="",Calc!F78=1),0,(AB39*TuitionRemission_GradAssistants_Y5)/IF(Calc!F78&lt;=5,1,2))</f>
        <v>0</v>
      </c>
      <c r="AG39" s="643"/>
      <c r="AH39" s="644"/>
      <c r="AI39" s="795">
        <f>IF(OR(Calc!D78=1,Calc!E78=1,Calc!F78=1),0,Calc!L78*AB39)</f>
        <v>0</v>
      </c>
      <c r="AJ39" s="803"/>
      <c r="AK39" s="803"/>
      <c r="AL39" s="796"/>
      <c r="AM39" s="804">
        <f>IF(AB39&gt;0,FringeRate_Y5_GradStudent,0)</f>
        <v>0</v>
      </c>
      <c r="AN39" s="805"/>
      <c r="AO39" s="795">
        <f t="shared" si="4"/>
        <v>0</v>
      </c>
      <c r="AP39" s="796"/>
      <c r="AQ39" s="795">
        <f t="shared" si="5"/>
        <v>0</v>
      </c>
      <c r="AR39" s="803"/>
      <c r="AS39" s="803"/>
      <c r="AT39" s="817"/>
      <c r="AU39" s="137"/>
      <c r="AV39" s="10"/>
    </row>
    <row r="40" spans="2:48" ht="20.100000000000001" customHeight="1" thickBot="1" x14ac:dyDescent="0.25">
      <c r="B40" s="10"/>
      <c r="C40" s="137"/>
      <c r="D40" s="137"/>
      <c r="E40" s="342" t="s">
        <v>95</v>
      </c>
      <c r="F40" s="754"/>
      <c r="G40" s="755"/>
      <c r="H40" s="755"/>
      <c r="I40" s="755"/>
      <c r="J40" s="755"/>
      <c r="K40" s="755"/>
      <c r="L40" s="755"/>
      <c r="M40" s="755"/>
      <c r="N40" s="755"/>
      <c r="O40" s="755"/>
      <c r="P40" s="755"/>
      <c r="Q40" s="755"/>
      <c r="R40" s="755"/>
      <c r="S40" s="755"/>
      <c r="T40" s="755"/>
      <c r="U40" s="755"/>
      <c r="V40" s="755"/>
      <c r="W40" s="755"/>
      <c r="X40" s="755"/>
      <c r="Y40" s="755"/>
      <c r="Z40" s="755"/>
      <c r="AA40" s="849"/>
      <c r="AB40" s="768"/>
      <c r="AC40" s="769"/>
      <c r="AD40" s="770"/>
      <c r="AE40" s="137"/>
      <c r="AF40" s="689">
        <f>IF(OR(AB40="",Calc!F79=1),0,(AB40*TuitionRemission_GradAssistants_Y5)/IF(Calc!F79&lt;=5,1,2))</f>
        <v>0</v>
      </c>
      <c r="AG40" s="482"/>
      <c r="AH40" s="483"/>
      <c r="AI40" s="797">
        <f>IF(OR(Calc!D79=1,Calc!E79=1,Calc!F79=1),0,Calc!L79*AB40)</f>
        <v>0</v>
      </c>
      <c r="AJ40" s="799"/>
      <c r="AK40" s="799"/>
      <c r="AL40" s="798"/>
      <c r="AM40" s="806">
        <f>IF(AB40&gt;0,FringeRate_Y5_GradStudent,0)</f>
        <v>0</v>
      </c>
      <c r="AN40" s="807"/>
      <c r="AO40" s="797">
        <f t="shared" si="4"/>
        <v>0</v>
      </c>
      <c r="AP40" s="798"/>
      <c r="AQ40" s="797">
        <f t="shared" si="5"/>
        <v>0</v>
      </c>
      <c r="AR40" s="799"/>
      <c r="AS40" s="799"/>
      <c r="AT40" s="818"/>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341"/>
      <c r="AE42" s="302"/>
      <c r="AF42" s="595">
        <f>SUM(AF36:AH40)</f>
        <v>0</v>
      </c>
      <c r="AG42" s="595"/>
      <c r="AH42" s="595"/>
      <c r="AI42" s="528">
        <f>SUM(AI36:AL40)</f>
        <v>0</v>
      </c>
      <c r="AJ42" s="528"/>
      <c r="AK42" s="528"/>
      <c r="AL42" s="528"/>
      <c r="AM42" s="529"/>
      <c r="AN42" s="529"/>
      <c r="AO42" s="592">
        <f>SUM(AO36:AP40)</f>
        <v>0</v>
      </c>
      <c r="AP42" s="593"/>
      <c r="AQ42" s="592">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779">
        <f>U46/Var_PersonHoursPerMonth</f>
        <v>0</v>
      </c>
      <c r="AH46" s="780"/>
      <c r="AI46" s="520">
        <f>R46*U46</f>
        <v>0</v>
      </c>
      <c r="AJ46" s="521"/>
      <c r="AK46" s="521"/>
      <c r="AL46" s="521"/>
      <c r="AM46" s="828">
        <f>FringeRate_Y5_Student</f>
        <v>2.4E-2</v>
      </c>
      <c r="AN46" s="828"/>
      <c r="AO46" s="521">
        <f>AI46*AM46</f>
        <v>0</v>
      </c>
      <c r="AP46" s="521"/>
      <c r="AQ46" s="521">
        <f>AI46+AO46</f>
        <v>0</v>
      </c>
      <c r="AR46" s="521"/>
      <c r="AS46" s="521"/>
      <c r="AT46" s="524"/>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477"/>
      <c r="V47" s="477"/>
      <c r="W47" s="478"/>
      <c r="X47" s="137"/>
      <c r="Y47" s="137"/>
      <c r="Z47" s="137"/>
      <c r="AA47" s="137"/>
      <c r="AB47" s="137"/>
      <c r="AC47" s="137"/>
      <c r="AD47" s="137"/>
      <c r="AE47" s="137"/>
      <c r="AF47" s="137"/>
      <c r="AG47" s="781">
        <f>U47/Var_PersonHoursPerMonth</f>
        <v>0</v>
      </c>
      <c r="AH47" s="782"/>
      <c r="AI47" s="522">
        <f>R47*U47</f>
        <v>0</v>
      </c>
      <c r="AJ47" s="515"/>
      <c r="AK47" s="515"/>
      <c r="AL47" s="515"/>
      <c r="AM47" s="826">
        <f>FringeRate_Y5_Student</f>
        <v>2.4E-2</v>
      </c>
      <c r="AN47" s="826"/>
      <c r="AO47" s="515">
        <f>AI47*AM47</f>
        <v>0</v>
      </c>
      <c r="AP47" s="515"/>
      <c r="AQ47" s="515">
        <f>AI47+AO47</f>
        <v>0</v>
      </c>
      <c r="AR47" s="515"/>
      <c r="AS47" s="515"/>
      <c r="AT47" s="516"/>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477"/>
      <c r="V48" s="477"/>
      <c r="W48" s="478"/>
      <c r="X48" s="137"/>
      <c r="Y48" s="137"/>
      <c r="Z48" s="137"/>
      <c r="AA48" s="137"/>
      <c r="AB48" s="137"/>
      <c r="AC48" s="137"/>
      <c r="AD48" s="137"/>
      <c r="AE48" s="137"/>
      <c r="AF48" s="137"/>
      <c r="AG48" s="781">
        <f>U48/Var_PersonHoursPerMonth</f>
        <v>0</v>
      </c>
      <c r="AH48" s="782"/>
      <c r="AI48" s="522">
        <f>R48*U48</f>
        <v>0</v>
      </c>
      <c r="AJ48" s="515"/>
      <c r="AK48" s="515"/>
      <c r="AL48" s="515"/>
      <c r="AM48" s="826">
        <f>FringeRate_Y5_Student</f>
        <v>2.4E-2</v>
      </c>
      <c r="AN48" s="826"/>
      <c r="AO48" s="515">
        <f>AI48*AM48</f>
        <v>0</v>
      </c>
      <c r="AP48" s="515"/>
      <c r="AQ48" s="515">
        <f>AI48+AO48</f>
        <v>0</v>
      </c>
      <c r="AR48" s="515"/>
      <c r="AS48" s="515"/>
      <c r="AT48" s="516"/>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477"/>
      <c r="V49" s="477"/>
      <c r="W49" s="478"/>
      <c r="X49" s="137"/>
      <c r="Y49" s="137"/>
      <c r="Z49" s="137"/>
      <c r="AA49" s="137"/>
      <c r="AB49" s="137"/>
      <c r="AC49" s="137"/>
      <c r="AD49" s="137"/>
      <c r="AE49" s="137"/>
      <c r="AF49" s="137"/>
      <c r="AG49" s="781">
        <f>U49/Var_PersonHoursPerMonth</f>
        <v>0</v>
      </c>
      <c r="AH49" s="782"/>
      <c r="AI49" s="522">
        <f>R49*U49</f>
        <v>0</v>
      </c>
      <c r="AJ49" s="515"/>
      <c r="AK49" s="515"/>
      <c r="AL49" s="515"/>
      <c r="AM49" s="826">
        <f>FringeRate_Y5_Student</f>
        <v>2.4E-2</v>
      </c>
      <c r="AN49" s="826"/>
      <c r="AO49" s="515">
        <f>AI49*AM49</f>
        <v>0</v>
      </c>
      <c r="AP49" s="515"/>
      <c r="AQ49" s="515">
        <f>AI49+AO49</f>
        <v>0</v>
      </c>
      <c r="AR49" s="515"/>
      <c r="AS49" s="515"/>
      <c r="AT49" s="516"/>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88"/>
      <c r="V50" s="588"/>
      <c r="W50" s="589"/>
      <c r="X50" s="137"/>
      <c r="Y50" s="137"/>
      <c r="Z50" s="137"/>
      <c r="AA50" s="137"/>
      <c r="AB50" s="137"/>
      <c r="AC50" s="137"/>
      <c r="AD50" s="137"/>
      <c r="AE50" s="137"/>
      <c r="AF50" s="137"/>
      <c r="AG50" s="777">
        <f>U50/Var_PersonHoursPerMonth</f>
        <v>0</v>
      </c>
      <c r="AH50" s="778"/>
      <c r="AI50" s="591">
        <f>R50*U50</f>
        <v>0</v>
      </c>
      <c r="AJ50" s="575"/>
      <c r="AK50" s="575"/>
      <c r="AL50" s="575"/>
      <c r="AM50" s="831">
        <f>FringeRate_Y5_Student</f>
        <v>2.4E-2</v>
      </c>
      <c r="AN50" s="831"/>
      <c r="AO50" s="575">
        <f>AI50*AM50</f>
        <v>0</v>
      </c>
      <c r="AP50" s="575"/>
      <c r="AQ50" s="575">
        <f>AI50+AO50</f>
        <v>0</v>
      </c>
      <c r="AR50" s="575"/>
      <c r="AS50" s="575"/>
      <c r="AT50" s="57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833">
        <f>SUM(AI46:AL50)</f>
        <v>0</v>
      </c>
      <c r="AJ52" s="833"/>
      <c r="AK52" s="833"/>
      <c r="AL52" s="833"/>
      <c r="AM52" s="711"/>
      <c r="AN52" s="711"/>
      <c r="AO52" s="833">
        <f>SUM(AO46:AP50)</f>
        <v>0</v>
      </c>
      <c r="AP52" s="833"/>
      <c r="AQ52" s="833">
        <f>SUM(AQ46:AT50)</f>
        <v>0</v>
      </c>
      <c r="AR52" s="833"/>
      <c r="AS52" s="833"/>
      <c r="AT52" s="83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834">
        <f>SUM(AK56:AN65)</f>
        <v>0</v>
      </c>
      <c r="AQ66" s="835"/>
      <c r="AR66" s="835"/>
      <c r="AS66" s="835"/>
      <c r="AT66" s="836"/>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58"/>
      <c r="AL79" s="458"/>
      <c r="AM79" s="458"/>
      <c r="AN79" s="459"/>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58"/>
      <c r="AL80" s="458"/>
      <c r="AM80" s="458"/>
      <c r="AN80" s="459"/>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58"/>
      <c r="AL81" s="458"/>
      <c r="AM81" s="458"/>
      <c r="AN81" s="459"/>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58"/>
      <c r="AL82" s="458"/>
      <c r="AM82" s="458"/>
      <c r="AN82" s="459"/>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58"/>
      <c r="AL83" s="458"/>
      <c r="AM83" s="458"/>
      <c r="AN83" s="459"/>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58"/>
      <c r="AL84" s="458"/>
      <c r="AM84" s="458"/>
      <c r="AN84" s="459"/>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62"/>
      <c r="AL85" s="462"/>
      <c r="AM85" s="462"/>
      <c r="AN85" s="463"/>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834">
        <f>SUM(AK69:AN76)</f>
        <v>0</v>
      </c>
      <c r="AQ86" s="835"/>
      <c r="AR86" s="835"/>
      <c r="AS86" s="835"/>
      <c r="AT86" s="836"/>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834">
        <f>SUM(AK78:AN85)</f>
        <v>0</v>
      </c>
      <c r="AQ87" s="835"/>
      <c r="AR87" s="835"/>
      <c r="AS87" s="835"/>
      <c r="AT87" s="836"/>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customHeight="1"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37"/>
      <c r="AP100" s="834">
        <f>SUM(AK90:AN99)</f>
        <v>0</v>
      </c>
      <c r="AQ100" s="835"/>
      <c r="AR100" s="835"/>
      <c r="AS100" s="835"/>
      <c r="AT100" s="836"/>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10" t="s">
        <v>171</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t="s">
        <v>217</v>
      </c>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548">
        <f>'Budget Period 1'!F103</f>
        <v>0</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21">
        <f>Data_Subaward_Y1_1 + Data_Subaward_Y2_1 + Data_Subaward_Y3_1 + Data_Subaward_Y4_1 + Data_Subaward_Y5_1</f>
        <v>0</v>
      </c>
      <c r="AH103" s="521"/>
      <c r="AI103" s="521"/>
      <c r="AJ103" s="521"/>
      <c r="AK103" s="487"/>
      <c r="AL103" s="487"/>
      <c r="AM103" s="487"/>
      <c r="AN103" s="488"/>
      <c r="AO103" s="137"/>
      <c r="AP103" s="137"/>
      <c r="AQ103" s="137"/>
      <c r="AR103" s="137"/>
      <c r="AS103" s="137"/>
      <c r="AT103" s="137"/>
      <c r="AU103" s="137"/>
      <c r="AV103" s="10"/>
    </row>
    <row r="104" spans="2:48" x14ac:dyDescent="0.2">
      <c r="B104" s="10"/>
      <c r="C104" s="137"/>
      <c r="D104" s="137"/>
      <c r="E104" s="149" t="s">
        <v>92</v>
      </c>
      <c r="F104" s="546">
        <f>'Budget Period 1'!F104</f>
        <v>0</v>
      </c>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15">
        <f>Data_Subaward_Y1_2 + Data_Subaward_Y2_2 + Data_Subaward_Y3_2 + Data_Subaward_Y4_2 + Data_Subaward_Y5_2</f>
        <v>0</v>
      </c>
      <c r="AH104" s="515"/>
      <c r="AI104" s="515"/>
      <c r="AJ104" s="515"/>
      <c r="AK104" s="458"/>
      <c r="AL104" s="458"/>
      <c r="AM104" s="458"/>
      <c r="AN104" s="459"/>
      <c r="AO104" s="137"/>
      <c r="AP104" s="137"/>
      <c r="AQ104" s="137"/>
      <c r="AR104" s="137"/>
      <c r="AS104" s="137"/>
      <c r="AT104" s="137"/>
      <c r="AU104" s="137"/>
      <c r="AV104" s="10"/>
    </row>
    <row r="105" spans="2:48" x14ac:dyDescent="0.2">
      <c r="B105" s="10"/>
      <c r="C105" s="137"/>
      <c r="D105" s="137"/>
      <c r="E105" s="149" t="s">
        <v>93</v>
      </c>
      <c r="F105" s="546">
        <f>'Budget Period 1'!F105</f>
        <v>0</v>
      </c>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15">
        <f>Data_Subaward_Y1_3 + Data_Subaward_Y2_3 + Data_Subaward_Y3_3 + Data_Subaward_Y4_3 + Data_Subaward_Y5_3</f>
        <v>0</v>
      </c>
      <c r="AH105" s="515"/>
      <c r="AI105" s="515"/>
      <c r="AJ105" s="515"/>
      <c r="AK105" s="458"/>
      <c r="AL105" s="458"/>
      <c r="AM105" s="458"/>
      <c r="AN105" s="459"/>
      <c r="AO105" s="137"/>
      <c r="AP105" s="137"/>
      <c r="AQ105" s="137"/>
      <c r="AR105" s="137"/>
      <c r="AS105" s="137"/>
      <c r="AT105" s="137"/>
      <c r="AU105" s="137"/>
      <c r="AV105" s="10"/>
    </row>
    <row r="106" spans="2:48" x14ac:dyDescent="0.2">
      <c r="B106" s="10"/>
      <c r="C106" s="137"/>
      <c r="D106" s="137"/>
      <c r="E106" s="149" t="s">
        <v>94</v>
      </c>
      <c r="F106" s="546">
        <f>'Budget Period 1'!F106</f>
        <v>0</v>
      </c>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15">
        <f>Data_Subaward_Y1_4 + Data_Subaward_Y2_4 + Data_Subaward_Y3_4 + Data_Subaward_Y4_4 + Data_Subaward_Y5_4</f>
        <v>0</v>
      </c>
      <c r="AH106" s="515"/>
      <c r="AI106" s="515"/>
      <c r="AJ106" s="515"/>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757">
        <f>'Budget Period 1'!F107</f>
        <v>0</v>
      </c>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575">
        <f>Data_Subaward_Y1_5 + Data_Subaward_Y2_5 + Data_Subaward_Y3_5 + Data_Subaward_Y4_5 + Data_Subaward_Y5_5</f>
        <v>0</v>
      </c>
      <c r="AH107" s="575"/>
      <c r="AI107" s="575"/>
      <c r="AJ107" s="575"/>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93">
        <f>'Budget Period 1'!F109</f>
        <v>0</v>
      </c>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389"/>
      <c r="AK109" s="487"/>
      <c r="AL109" s="487"/>
      <c r="AM109" s="487"/>
      <c r="AN109" s="488"/>
      <c r="AO109" s="137"/>
      <c r="AP109" s="137"/>
      <c r="AQ109" s="137"/>
      <c r="AR109" s="137"/>
      <c r="AS109" s="137"/>
      <c r="AT109" s="137"/>
      <c r="AU109" s="137"/>
      <c r="AV109" s="10"/>
    </row>
    <row r="110" spans="2:48" x14ac:dyDescent="0.2">
      <c r="B110" s="10"/>
      <c r="C110" s="137"/>
      <c r="D110" s="137"/>
      <c r="E110" s="149" t="s">
        <v>92</v>
      </c>
      <c r="F110" s="495">
        <f>'Budget Period 1'!F110</f>
        <v>0</v>
      </c>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7"/>
      <c r="AK110" s="458"/>
      <c r="AL110" s="458"/>
      <c r="AM110" s="458"/>
      <c r="AN110" s="459"/>
      <c r="AO110" s="137"/>
      <c r="AP110" s="137"/>
      <c r="AQ110" s="137"/>
      <c r="AR110" s="137"/>
      <c r="AS110" s="137"/>
      <c r="AT110" s="137"/>
      <c r="AU110" s="137"/>
      <c r="AV110" s="10"/>
    </row>
    <row r="111" spans="2:48" x14ac:dyDescent="0.2">
      <c r="B111" s="10"/>
      <c r="C111" s="137"/>
      <c r="D111" s="137"/>
      <c r="E111" s="149" t="s">
        <v>93</v>
      </c>
      <c r="F111" s="495">
        <f>'Budget Period 1'!F111</f>
        <v>0</v>
      </c>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7"/>
      <c r="AK111" s="458"/>
      <c r="AL111" s="458"/>
      <c r="AM111" s="458"/>
      <c r="AN111" s="459"/>
      <c r="AO111" s="137"/>
      <c r="AP111" s="137"/>
      <c r="AQ111" s="137"/>
      <c r="AR111" s="137"/>
      <c r="AS111" s="137"/>
      <c r="AT111" s="137"/>
      <c r="AU111" s="137"/>
      <c r="AV111" s="10"/>
    </row>
    <row r="112" spans="2:48" x14ac:dyDescent="0.2">
      <c r="B112" s="10"/>
      <c r="C112" s="137"/>
      <c r="D112" s="137"/>
      <c r="E112" s="149" t="s">
        <v>94</v>
      </c>
      <c r="F112" s="495">
        <f>'Budget Period 1'!F112</f>
        <v>0</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7"/>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759">
        <f>'Budget Period 1'!F113</f>
        <v>0</v>
      </c>
      <c r="G113" s="760"/>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391"/>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834">
        <f>SUM(AK103:AN107,AK109:AN113)</f>
        <v>0</v>
      </c>
      <c r="AQ114" s="835"/>
      <c r="AR114" s="835"/>
      <c r="AS114" s="835"/>
      <c r="AT114" s="836"/>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54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844">
        <f>Result_Tuition_Y5</f>
        <v>0</v>
      </c>
      <c r="AL125" s="844"/>
      <c r="AM125" s="844"/>
      <c r="AN125" s="845"/>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8"/>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834">
        <f>SUM(AK117:AN129)</f>
        <v>0</v>
      </c>
      <c r="AQ130" s="835"/>
      <c r="AR130" s="835"/>
      <c r="AS130" s="835"/>
      <c r="AT130" s="836"/>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841">
        <f>SUM(AI32,AI42,AI52)</f>
        <v>0</v>
      </c>
      <c r="P134" s="842"/>
      <c r="Q134" s="842"/>
      <c r="R134" s="843"/>
      <c r="S134" s="137"/>
      <c r="T134" s="841">
        <f>SUM(AO32,AO42,AO52)</f>
        <v>0</v>
      </c>
      <c r="U134" s="842"/>
      <c r="V134" s="842"/>
      <c r="W134" s="843"/>
      <c r="X134" s="137"/>
      <c r="Y134" s="137"/>
      <c r="Z134" s="137"/>
      <c r="AA134" s="137"/>
      <c r="AB134" s="137"/>
      <c r="AC134" s="137"/>
      <c r="AD134" s="137"/>
      <c r="AE134" s="137"/>
      <c r="AF134" s="137"/>
      <c r="AG134" s="137"/>
      <c r="AH134" s="137"/>
      <c r="AI134" s="137"/>
      <c r="AJ134" s="137"/>
      <c r="AK134" s="137"/>
      <c r="AL134" s="137"/>
      <c r="AM134" s="137"/>
      <c r="AN134" s="137"/>
      <c r="AO134" s="137"/>
      <c r="AP134" s="834">
        <f>SUM(O134,T134)</f>
        <v>0</v>
      </c>
      <c r="AQ134" s="835"/>
      <c r="AR134" s="835"/>
      <c r="AS134" s="835"/>
      <c r="AT134" s="836"/>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837">
        <f>Result_EquipmentCost_Y5</f>
        <v>0</v>
      </c>
      <c r="P137" s="838"/>
      <c r="Q137" s="838"/>
      <c r="R137" s="839"/>
      <c r="S137" s="137"/>
      <c r="T137" s="837">
        <f>SUM(Result_TravelDomestic_Y5,Result_TravelForeign_Y5)</f>
        <v>0</v>
      </c>
      <c r="U137" s="838"/>
      <c r="V137" s="838"/>
      <c r="W137" s="839"/>
      <c r="X137" s="137"/>
      <c r="Y137" s="837">
        <f>Result_ParticipantCosts_Y5</f>
        <v>0</v>
      </c>
      <c r="Z137" s="838"/>
      <c r="AA137" s="838"/>
      <c r="AB137" s="839"/>
      <c r="AC137" s="137"/>
      <c r="AD137" s="837">
        <f>Result_SubawardCosts_Y5</f>
        <v>0</v>
      </c>
      <c r="AE137" s="838"/>
      <c r="AF137" s="838"/>
      <c r="AG137" s="839"/>
      <c r="AH137" s="137"/>
      <c r="AI137" s="837">
        <f>Result_OtherDirectCosts_Y5</f>
        <v>0</v>
      </c>
      <c r="AJ137" s="838"/>
      <c r="AK137" s="838"/>
      <c r="AL137" s="839"/>
      <c r="AM137" s="137"/>
      <c r="AN137" s="137"/>
      <c r="AO137" s="137"/>
      <c r="AP137" s="834">
        <f>SUM(O137,T137,Y137,AD137,AI137)</f>
        <v>0</v>
      </c>
      <c r="AQ137" s="835"/>
      <c r="AR137" s="835"/>
      <c r="AS137" s="835"/>
      <c r="AT137" s="836"/>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834">
        <f>SUM(Result_PersonnelCosts_Y5,Result_EquipmentCost_Y5,Result_TravelTotal_Y5,Result_ParticipantCosts_Y5,Result_SubawardCosts_Y5,Result_OtherDirectCosts_Y5)</f>
        <v>0</v>
      </c>
      <c r="AQ139" s="835"/>
      <c r="AR139" s="835"/>
      <c r="AS139" s="835"/>
      <c r="AT139" s="836"/>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840">
        <f>Result_TotalDirectCosts_Y5 - Result_SubawardCosts_UW_Y5 - IF(Data_Exclude_SalariesWages, Result_SalariesWages_Y5, 0) - IF(Data_Exclude_Fringes, Result_FringeBenefits_Y5, 0) - IF(Data_Exclude_Tuition, Result_TuitionTOTAL_Y5, 0) - IF(Data_Exclude_Equipment, Result_EquipmentCost_Y5, 0) - IF(Data_Exclude_Travel, Result_TravelTotal_Y5, 0) - IF(Data_Exclude_ParticipantCosts, Result_ParticipantCosts_Y5, 0) - IF(Data_Exclude_NonUWSubawards, Result_SubawardCosts_NonUW_Y5, IF(Data_Exclude_NonUWSubawardsExceeding25K, Result_SubawardCosts_NonUW_Y5 - Result_SubawardBase_Y5_TOTAL, 0)) - IF(Data_Exclude_OtherCosts, Result_OtherDirectCosts_Y5 - Result_TuitionTOTAL_Y5, 0)</f>
        <v>0</v>
      </c>
      <c r="AQ140" s="840"/>
      <c r="AR140" s="840"/>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834">
        <f>CHOOSE('Drop-Down_Options'!E14,0,Result_TotalDirectCosts_Y5 - Result_SubawardCosts_UW_Y5,(Result_TotalDirectCosts_Y5-Result_EquipmentCost_Y5-Result_ParticipantCosts_Y5-Result_TuitionTOTAL_Y5-(Result_SubawardCosts_Y5-Result_SubawardBase_Y5_TOTAL)),AP140)</f>
        <v>0</v>
      </c>
      <c r="AQ141" s="835"/>
      <c r="AR141" s="835"/>
      <c r="AS141" s="835"/>
      <c r="AT141" s="836"/>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834">
        <f>AP141*FA_Rate_Y5</f>
        <v>0</v>
      </c>
      <c r="AQ143" s="835"/>
      <c r="AR143" s="835"/>
      <c r="AS143" s="835"/>
      <c r="AT143" s="836"/>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340</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834">
        <f>SUM(Result_TotalDirectCosts_Y5,Result_IndirectCosts_Y5)</f>
        <v>0</v>
      </c>
      <c r="AQ145" s="835"/>
      <c r="AR145" s="835"/>
      <c r="AS145" s="835"/>
      <c r="AT145" s="836"/>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49" spans="2:48" x14ac:dyDescent="0.2">
      <c r="E149" t="s">
        <v>220</v>
      </c>
    </row>
    <row r="150" spans="2:48" ht="30" x14ac:dyDescent="0.4">
      <c r="AB150" s="22"/>
    </row>
    <row r="151" spans="2:48" ht="12.75" customHeight="1" x14ac:dyDescent="0.4">
      <c r="U151" s="22"/>
    </row>
  </sheetData>
  <sheetProtection algorithmName="SHA-512" hashValue="cIsSFhHN+1X9F7Ken1UqAGTOza79a2kE63RcPuvAjhicoBL/5i97nSx5iwjGizimak8lyb0JS1RvuAp6/SzZEw==" saltValue="sVjhPtwu9E8dyj0KkzLoqQ==" spinCount="100000" sheet="1" selectLockedCells="1"/>
  <mergeCells count="515">
    <mergeCell ref="AB35:AD35"/>
    <mergeCell ref="AB36:AD36"/>
    <mergeCell ref="AB37:AD37"/>
    <mergeCell ref="AB38:AD38"/>
    <mergeCell ref="AB39:AD39"/>
    <mergeCell ref="AB40:AD40"/>
    <mergeCell ref="R8:AT9"/>
    <mergeCell ref="AM10:AN10"/>
    <mergeCell ref="AO10:AP10"/>
    <mergeCell ref="AQ13:AT13"/>
    <mergeCell ref="AO14:AP14"/>
    <mergeCell ref="AQ14:AT14"/>
    <mergeCell ref="AO17:AP17"/>
    <mergeCell ref="AQ17:AT17"/>
    <mergeCell ref="AO20:AP20"/>
    <mergeCell ref="AQ20:AT20"/>
    <mergeCell ref="AI24:AL24"/>
    <mergeCell ref="AM24:AN24"/>
    <mergeCell ref="AO24:AP24"/>
    <mergeCell ref="AM25:AN25"/>
    <mergeCell ref="AO25:AP25"/>
    <mergeCell ref="AQ25:AT25"/>
    <mergeCell ref="U26:X26"/>
    <mergeCell ref="AB26:AC26"/>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Q12:AT12"/>
    <mergeCell ref="F13:K13"/>
    <mergeCell ref="L13:N13"/>
    <mergeCell ref="O13:T13"/>
    <mergeCell ref="U13:X13"/>
    <mergeCell ref="AB13:AC13"/>
    <mergeCell ref="AM11:AN11"/>
    <mergeCell ref="AO11:AP11"/>
    <mergeCell ref="AD13:AF13"/>
    <mergeCell ref="AG13:AH13"/>
    <mergeCell ref="AI13:AL13"/>
    <mergeCell ref="AB12:AC12"/>
    <mergeCell ref="AD12:AF12"/>
    <mergeCell ref="AG12:AH12"/>
    <mergeCell ref="AI12:AL12"/>
    <mergeCell ref="F12:K12"/>
    <mergeCell ref="L12:N12"/>
    <mergeCell ref="O12:T12"/>
    <mergeCell ref="U12:X12"/>
    <mergeCell ref="AG11:AH11"/>
    <mergeCell ref="AI11:AL11"/>
    <mergeCell ref="AM13:AN13"/>
    <mergeCell ref="AO13:AP13"/>
    <mergeCell ref="F11:K11"/>
    <mergeCell ref="L11:N11"/>
    <mergeCell ref="F14:K14"/>
    <mergeCell ref="L14:N14"/>
    <mergeCell ref="O14:T14"/>
    <mergeCell ref="U14:X14"/>
    <mergeCell ref="AB14:AC14"/>
    <mergeCell ref="AD14:AF14"/>
    <mergeCell ref="AG14:AH14"/>
    <mergeCell ref="AI14:AL14"/>
    <mergeCell ref="AM14:AN14"/>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AM16:AN16"/>
    <mergeCell ref="AO16:AP16"/>
    <mergeCell ref="AQ16:AT16"/>
    <mergeCell ref="F17:K17"/>
    <mergeCell ref="L17:N17"/>
    <mergeCell ref="O17:T17"/>
    <mergeCell ref="U17:X17"/>
    <mergeCell ref="AB17:AC17"/>
    <mergeCell ref="AD17:AF17"/>
    <mergeCell ref="AG17:AH17"/>
    <mergeCell ref="AI17:AL17"/>
    <mergeCell ref="AM17:AN17"/>
    <mergeCell ref="F18:K18"/>
    <mergeCell ref="L18:N18"/>
    <mergeCell ref="O18:T18"/>
    <mergeCell ref="U18:X18"/>
    <mergeCell ref="AQ18:AT18"/>
    <mergeCell ref="F19:K19"/>
    <mergeCell ref="L19:N19"/>
    <mergeCell ref="O19:T19"/>
    <mergeCell ref="U19:X19"/>
    <mergeCell ref="AB19:AC19"/>
    <mergeCell ref="AD19:AF19"/>
    <mergeCell ref="AG19:AH19"/>
    <mergeCell ref="AI19:AL19"/>
    <mergeCell ref="AB18:AC18"/>
    <mergeCell ref="AD18:AF18"/>
    <mergeCell ref="AG18:AH18"/>
    <mergeCell ref="AI18:AL18"/>
    <mergeCell ref="AM18:AN18"/>
    <mergeCell ref="AO18:AP18"/>
    <mergeCell ref="AM19:AN19"/>
    <mergeCell ref="AO19:AP19"/>
    <mergeCell ref="AQ19:AT19"/>
    <mergeCell ref="F20:K20"/>
    <mergeCell ref="L20:N20"/>
    <mergeCell ref="O20:T20"/>
    <mergeCell ref="U20:X20"/>
    <mergeCell ref="AB20:AC20"/>
    <mergeCell ref="AD20:AF20"/>
    <mergeCell ref="AG20:AH20"/>
    <mergeCell ref="AI20:AL20"/>
    <mergeCell ref="AM20:AN20"/>
    <mergeCell ref="F21:K21"/>
    <mergeCell ref="L21:N21"/>
    <mergeCell ref="O21:T21"/>
    <mergeCell ref="U21:X21"/>
    <mergeCell ref="AQ21:AT21"/>
    <mergeCell ref="F22:K22"/>
    <mergeCell ref="L22:N22"/>
    <mergeCell ref="O22:T22"/>
    <mergeCell ref="U22:X22"/>
    <mergeCell ref="AB22:AC22"/>
    <mergeCell ref="AD22:AF22"/>
    <mergeCell ref="AG22:AH22"/>
    <mergeCell ref="AI22:AL22"/>
    <mergeCell ref="AB21:AC21"/>
    <mergeCell ref="AD21:AF21"/>
    <mergeCell ref="AG21:AH21"/>
    <mergeCell ref="AI21:AL21"/>
    <mergeCell ref="AM21:AN21"/>
    <mergeCell ref="AO21:AP21"/>
    <mergeCell ref="AM22:AN22"/>
    <mergeCell ref="AO22:AP22"/>
    <mergeCell ref="AQ22:AT22"/>
    <mergeCell ref="AO26:AP26"/>
    <mergeCell ref="AQ26:AT26"/>
    <mergeCell ref="F23:K23"/>
    <mergeCell ref="L23:N23"/>
    <mergeCell ref="O23:T23"/>
    <mergeCell ref="U23:X23"/>
    <mergeCell ref="AB23:AC23"/>
    <mergeCell ref="AD23:AF23"/>
    <mergeCell ref="AG23:AH23"/>
    <mergeCell ref="AI23:AL23"/>
    <mergeCell ref="AM23:AN23"/>
    <mergeCell ref="AO23:AP23"/>
    <mergeCell ref="AQ23:AT23"/>
    <mergeCell ref="F24:K24"/>
    <mergeCell ref="L24:N24"/>
    <mergeCell ref="O24:T24"/>
    <mergeCell ref="U24:X24"/>
    <mergeCell ref="AQ24:AT24"/>
    <mergeCell ref="F25:K25"/>
    <mergeCell ref="L25:N25"/>
    <mergeCell ref="O25:T25"/>
    <mergeCell ref="U25:X25"/>
    <mergeCell ref="AB25:AC25"/>
    <mergeCell ref="AD25:AF25"/>
    <mergeCell ref="AG25:AH25"/>
    <mergeCell ref="AI25:AL25"/>
    <mergeCell ref="AB24:AC24"/>
    <mergeCell ref="AD24:AF24"/>
    <mergeCell ref="AG24:AH24"/>
    <mergeCell ref="AQ27:AT27"/>
    <mergeCell ref="F28:K28"/>
    <mergeCell ref="L28:N28"/>
    <mergeCell ref="O28:T28"/>
    <mergeCell ref="U28:X28"/>
    <mergeCell ref="AB28:AC28"/>
    <mergeCell ref="AD28:AF28"/>
    <mergeCell ref="AG28:AH28"/>
    <mergeCell ref="AI28:AL28"/>
    <mergeCell ref="AB27:AC27"/>
    <mergeCell ref="AD27:AF27"/>
    <mergeCell ref="AG27:AH27"/>
    <mergeCell ref="AI27:AL27"/>
    <mergeCell ref="AM27:AN27"/>
    <mergeCell ref="AO27:AP27"/>
    <mergeCell ref="AO28:AP28"/>
    <mergeCell ref="AQ28:AT28"/>
    <mergeCell ref="F26:K26"/>
    <mergeCell ref="L26:N26"/>
    <mergeCell ref="O26:T26"/>
    <mergeCell ref="F30:K30"/>
    <mergeCell ref="L30:N30"/>
    <mergeCell ref="O30:T30"/>
    <mergeCell ref="U30:X30"/>
    <mergeCell ref="AB30:AC30"/>
    <mergeCell ref="AM28:AN28"/>
    <mergeCell ref="F29:K29"/>
    <mergeCell ref="L29:N29"/>
    <mergeCell ref="O29:T29"/>
    <mergeCell ref="U29:X29"/>
    <mergeCell ref="AB29:AC29"/>
    <mergeCell ref="AD29:AF29"/>
    <mergeCell ref="AG29:AH29"/>
    <mergeCell ref="F27:K27"/>
    <mergeCell ref="L27:N27"/>
    <mergeCell ref="O27:T27"/>
    <mergeCell ref="U27:X27"/>
    <mergeCell ref="AD26:AF26"/>
    <mergeCell ref="AG26:AH26"/>
    <mergeCell ref="AI26:AL26"/>
    <mergeCell ref="AM26:AN26"/>
    <mergeCell ref="AQ30:AT30"/>
    <mergeCell ref="AI32:AL32"/>
    <mergeCell ref="V5:AF5"/>
    <mergeCell ref="AI35:AL35"/>
    <mergeCell ref="AM35:AN35"/>
    <mergeCell ref="AO35:AP35"/>
    <mergeCell ref="AQ35:AT35"/>
    <mergeCell ref="AO42:AP42"/>
    <mergeCell ref="AQ40:AT40"/>
    <mergeCell ref="AF35:AH35"/>
    <mergeCell ref="F35:AA35"/>
    <mergeCell ref="AG30:AH30"/>
    <mergeCell ref="AI30:AL30"/>
    <mergeCell ref="AO32:AP32"/>
    <mergeCell ref="AD30:AF30"/>
    <mergeCell ref="AM30:AN30"/>
    <mergeCell ref="AO30:AP30"/>
    <mergeCell ref="AQ32:AT32"/>
    <mergeCell ref="AI29:AL29"/>
    <mergeCell ref="AM29:AN29"/>
    <mergeCell ref="AO29:AP29"/>
    <mergeCell ref="AQ29:AT29"/>
    <mergeCell ref="AQ42:AT42"/>
    <mergeCell ref="AQ36:AT36"/>
    <mergeCell ref="F36:AA36"/>
    <mergeCell ref="F37:AA37"/>
    <mergeCell ref="AO36:AP36"/>
    <mergeCell ref="AO37:AP37"/>
    <mergeCell ref="AO38:AP38"/>
    <mergeCell ref="AO39:AP39"/>
    <mergeCell ref="AM36:AN36"/>
    <mergeCell ref="AM37:AN37"/>
    <mergeCell ref="AM38:AN38"/>
    <mergeCell ref="F38:AA38"/>
    <mergeCell ref="F39:AA39"/>
    <mergeCell ref="AQ37:AT37"/>
    <mergeCell ref="AQ38:AT38"/>
    <mergeCell ref="AQ39:AT39"/>
    <mergeCell ref="AF36:AH36"/>
    <mergeCell ref="AF37:AH37"/>
    <mergeCell ref="AF38:AH38"/>
    <mergeCell ref="AF39:AH39"/>
    <mergeCell ref="AI36:AL36"/>
    <mergeCell ref="AI37:AL37"/>
    <mergeCell ref="AI38:AL38"/>
    <mergeCell ref="AI39:AL39"/>
    <mergeCell ref="AM39:AN39"/>
    <mergeCell ref="F46:Q46"/>
    <mergeCell ref="R46:T46"/>
    <mergeCell ref="U46:W46"/>
    <mergeCell ref="AG46:AH46"/>
    <mergeCell ref="AI46:AL46"/>
    <mergeCell ref="AM46:AN46"/>
    <mergeCell ref="F45:Q45"/>
    <mergeCell ref="R45:T45"/>
    <mergeCell ref="U45:W45"/>
    <mergeCell ref="AG45:AH45"/>
    <mergeCell ref="AI45:AL45"/>
    <mergeCell ref="AM45:AN45"/>
    <mergeCell ref="U48:W48"/>
    <mergeCell ref="AG48:AH48"/>
    <mergeCell ref="AI48:AL48"/>
    <mergeCell ref="AM48:AN48"/>
    <mergeCell ref="AO47:AP47"/>
    <mergeCell ref="AQ47:AT47"/>
    <mergeCell ref="AO48:AP48"/>
    <mergeCell ref="AQ48:AT48"/>
    <mergeCell ref="AO40:AP40"/>
    <mergeCell ref="AF42:AH42"/>
    <mergeCell ref="AI42:AL42"/>
    <mergeCell ref="AM42:AN42"/>
    <mergeCell ref="AM40:AN40"/>
    <mergeCell ref="AF40:AH40"/>
    <mergeCell ref="AI40:AL40"/>
    <mergeCell ref="F40:AA40"/>
    <mergeCell ref="F47:Q47"/>
    <mergeCell ref="R47:T47"/>
    <mergeCell ref="U47:W47"/>
    <mergeCell ref="AG47:AH47"/>
    <mergeCell ref="AI47:AL47"/>
    <mergeCell ref="AM47:AN47"/>
    <mergeCell ref="AO45:AP45"/>
    <mergeCell ref="AQ45:AT45"/>
    <mergeCell ref="F55:AJ55"/>
    <mergeCell ref="AK55:AN55"/>
    <mergeCell ref="F56:AJ56"/>
    <mergeCell ref="AK56:AN56"/>
    <mergeCell ref="F57:AJ57"/>
    <mergeCell ref="AK57:AN57"/>
    <mergeCell ref="AO46:AP46"/>
    <mergeCell ref="AQ46:AT46"/>
    <mergeCell ref="AI50:AL50"/>
    <mergeCell ref="AM50:AN50"/>
    <mergeCell ref="AI52:AL52"/>
    <mergeCell ref="AM52:AN52"/>
    <mergeCell ref="F48:Q48"/>
    <mergeCell ref="R48:T48"/>
    <mergeCell ref="F50:Q50"/>
    <mergeCell ref="R50:T50"/>
    <mergeCell ref="U50:W50"/>
    <mergeCell ref="AG50:AH50"/>
    <mergeCell ref="F49:Q49"/>
    <mergeCell ref="R49:T49"/>
    <mergeCell ref="U49:W49"/>
    <mergeCell ref="AG49:AH49"/>
    <mergeCell ref="AI49:AL49"/>
    <mergeCell ref="AM49:AN49"/>
    <mergeCell ref="F61:AJ61"/>
    <mergeCell ref="AK61:AN61"/>
    <mergeCell ref="F62:AJ62"/>
    <mergeCell ref="AK62:AN62"/>
    <mergeCell ref="F63:AJ63"/>
    <mergeCell ref="AK63:AN63"/>
    <mergeCell ref="F58:AJ58"/>
    <mergeCell ref="AK58:AN58"/>
    <mergeCell ref="F59:AJ59"/>
    <mergeCell ref="AK59:AN59"/>
    <mergeCell ref="F60:AJ60"/>
    <mergeCell ref="AK60:AN60"/>
    <mergeCell ref="F69:AJ69"/>
    <mergeCell ref="AK69:AN69"/>
    <mergeCell ref="F70:AJ70"/>
    <mergeCell ref="AK70:AN70"/>
    <mergeCell ref="F71:AJ71"/>
    <mergeCell ref="AK71:AN71"/>
    <mergeCell ref="F64:AJ64"/>
    <mergeCell ref="AK64:AN64"/>
    <mergeCell ref="F65:AJ65"/>
    <mergeCell ref="AK65:AN65"/>
    <mergeCell ref="F68:AJ68"/>
    <mergeCell ref="AK68:AN68"/>
    <mergeCell ref="F75:AJ75"/>
    <mergeCell ref="AK75:AN75"/>
    <mergeCell ref="F76:AJ76"/>
    <mergeCell ref="AK76:AN76"/>
    <mergeCell ref="F77:AJ77"/>
    <mergeCell ref="AK77:AN77"/>
    <mergeCell ref="F72:AJ72"/>
    <mergeCell ref="AK72:AN72"/>
    <mergeCell ref="F73:AJ73"/>
    <mergeCell ref="AK73:AN73"/>
    <mergeCell ref="F74:AJ74"/>
    <mergeCell ref="AK74:AN74"/>
    <mergeCell ref="F81:AJ81"/>
    <mergeCell ref="AK81:AN81"/>
    <mergeCell ref="F82:AJ82"/>
    <mergeCell ref="AK82:AN82"/>
    <mergeCell ref="F83:AJ83"/>
    <mergeCell ref="AK83:AN83"/>
    <mergeCell ref="F78:AJ78"/>
    <mergeCell ref="AK78:AN78"/>
    <mergeCell ref="F79:AJ79"/>
    <mergeCell ref="AK79:AN79"/>
    <mergeCell ref="F80:AJ80"/>
    <mergeCell ref="AK80:AN80"/>
    <mergeCell ref="F89:AJ89"/>
    <mergeCell ref="AK89:AN89"/>
    <mergeCell ref="AK90:AN90"/>
    <mergeCell ref="AK91:AN91"/>
    <mergeCell ref="F90:L90"/>
    <mergeCell ref="F91:L91"/>
    <mergeCell ref="M90:AJ90"/>
    <mergeCell ref="M91:AJ91"/>
    <mergeCell ref="F84:AJ84"/>
    <mergeCell ref="AK84:AN84"/>
    <mergeCell ref="F85:AJ85"/>
    <mergeCell ref="AK85:AN85"/>
    <mergeCell ref="AK98:AN98"/>
    <mergeCell ref="AK99:AN99"/>
    <mergeCell ref="F102:AF102"/>
    <mergeCell ref="AG102:AJ102"/>
    <mergeCell ref="AK102:AN102"/>
    <mergeCell ref="F92:L99"/>
    <mergeCell ref="M93:AJ93"/>
    <mergeCell ref="M94:AJ94"/>
    <mergeCell ref="M95:AJ95"/>
    <mergeCell ref="M96:AJ96"/>
    <mergeCell ref="M97:AJ97"/>
    <mergeCell ref="M98:AJ98"/>
    <mergeCell ref="M99:AJ99"/>
    <mergeCell ref="AK95:AN95"/>
    <mergeCell ref="AK96:AN96"/>
    <mergeCell ref="AK97:AN97"/>
    <mergeCell ref="AK92:AN92"/>
    <mergeCell ref="AK93:AN93"/>
    <mergeCell ref="AK94:AN94"/>
    <mergeCell ref="M92:AJ92"/>
    <mergeCell ref="F106:AF106"/>
    <mergeCell ref="AG106:AJ106"/>
    <mergeCell ref="AK106:AN106"/>
    <mergeCell ref="F118:L118"/>
    <mergeCell ref="M118:AJ118"/>
    <mergeCell ref="AK118:AN118"/>
    <mergeCell ref="F107:AF107"/>
    <mergeCell ref="AG107:AJ107"/>
    <mergeCell ref="AK107:AN107"/>
    <mergeCell ref="F103:AF103"/>
    <mergeCell ref="AG103:AJ103"/>
    <mergeCell ref="AK103:AN103"/>
    <mergeCell ref="F104:AF104"/>
    <mergeCell ref="AG104:AJ104"/>
    <mergeCell ref="AK104:AN104"/>
    <mergeCell ref="F105:AF105"/>
    <mergeCell ref="AG105:AJ105"/>
    <mergeCell ref="AK105:AN105"/>
    <mergeCell ref="AP145:AT145"/>
    <mergeCell ref="AO49:AP49"/>
    <mergeCell ref="AQ49:AT49"/>
    <mergeCell ref="AO50:AP50"/>
    <mergeCell ref="AQ50:AT50"/>
    <mergeCell ref="AP100:AT100"/>
    <mergeCell ref="AP86:AT86"/>
    <mergeCell ref="AP87:AT87"/>
    <mergeCell ref="AP66:AT66"/>
    <mergeCell ref="AO52:AP52"/>
    <mergeCell ref="AQ52:AT52"/>
    <mergeCell ref="AP114:AT114"/>
    <mergeCell ref="AP141:AT141"/>
    <mergeCell ref="AP143:AT143"/>
    <mergeCell ref="AP137:AT137"/>
    <mergeCell ref="AP134:AT134"/>
    <mergeCell ref="AP130:AT130"/>
    <mergeCell ref="AR3:AU3"/>
    <mergeCell ref="AP139:AT139"/>
    <mergeCell ref="AP140:AR14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7:AJ127"/>
    <mergeCell ref="M125:AJ125"/>
    <mergeCell ref="AK125:AN125"/>
    <mergeCell ref="M126:AJ126"/>
    <mergeCell ref="F127:L129"/>
    <mergeCell ref="M129:AJ129"/>
    <mergeCell ref="AK124:AN124"/>
    <mergeCell ref="F124:L124"/>
    <mergeCell ref="M124:AJ124"/>
    <mergeCell ref="F110:AJ110"/>
    <mergeCell ref="AK110:AN110"/>
    <mergeCell ref="F111:AJ111"/>
    <mergeCell ref="F112:AJ112"/>
    <mergeCell ref="AK112:AN112"/>
    <mergeCell ref="F116:AJ116"/>
    <mergeCell ref="AK116:AN116"/>
    <mergeCell ref="F117:L117"/>
    <mergeCell ref="M117:AJ117"/>
    <mergeCell ref="AK117:AN117"/>
    <mergeCell ref="F123:L123"/>
    <mergeCell ref="M123:AJ123"/>
    <mergeCell ref="M121:AJ121"/>
    <mergeCell ref="M122:AJ122"/>
    <mergeCell ref="AK120:AN120"/>
    <mergeCell ref="AK121:AN121"/>
    <mergeCell ref="AK122:AN122"/>
    <mergeCell ref="F119:L122"/>
    <mergeCell ref="F125:L125"/>
    <mergeCell ref="F126:L126"/>
    <mergeCell ref="AK126:AN126"/>
    <mergeCell ref="AK119:AN119"/>
    <mergeCell ref="AK123:AN123"/>
    <mergeCell ref="M119:AJ119"/>
    <mergeCell ref="M120:AJ120"/>
    <mergeCell ref="F108:AJ108"/>
    <mergeCell ref="AK108:AN108"/>
    <mergeCell ref="F109:AJ109"/>
    <mergeCell ref="AK109:AN109"/>
    <mergeCell ref="F113:AJ113"/>
    <mergeCell ref="AK113:AN113"/>
    <mergeCell ref="AK111:AN111"/>
  </mergeCells>
  <conditionalFormatting sqref="AB11:AC30">
    <cfRule type="expression" dxfId="62" priority="21" stopIfTrue="1">
      <formula>OR(AND($Y11=3,$AB11&gt;3),AND($Y11=2,$AB11&gt;9),AND($Y11=4,$AB11&gt;12))</formula>
    </cfRule>
  </conditionalFormatting>
  <conditionalFormatting sqref="AG11:AH30">
    <cfRule type="expression" dxfId="61" priority="19" stopIfTrue="1">
      <formula>OR($U11="",$AB11="",$AD11="")</formula>
    </cfRule>
  </conditionalFormatting>
  <conditionalFormatting sqref="AI11:AL30">
    <cfRule type="expression" dxfId="60" priority="18" stopIfTrue="1">
      <formula>OR($U11="",$AB11="",$AD11="")</formula>
    </cfRule>
  </conditionalFormatting>
  <conditionalFormatting sqref="AM11:AN30">
    <cfRule type="expression" dxfId="59" priority="17" stopIfTrue="1">
      <formula>OR($U11="",$AB11="",$AD11="")</formula>
    </cfRule>
  </conditionalFormatting>
  <conditionalFormatting sqref="AO11:AP30">
    <cfRule type="expression" dxfId="58" priority="16" stopIfTrue="1">
      <formula>OR($U11="",$AB11="",$AD11="")</formula>
    </cfRule>
  </conditionalFormatting>
  <conditionalFormatting sqref="AQ11:AT30">
    <cfRule type="expression" dxfId="57" priority="15" stopIfTrue="1">
      <formula>OR($U11="",$AB11="",$AD11="")</formula>
    </cfRule>
  </conditionalFormatting>
  <conditionalFormatting sqref="F11:F30">
    <cfRule type="expression" dxfId="56" priority="14" stopIfTrue="1">
      <formula>F11=0</formula>
    </cfRule>
  </conditionalFormatting>
  <conditionalFormatting sqref="AG103:AJ107 F109:AJ113 F103:F107">
    <cfRule type="cellIs" dxfId="55" priority="13" stopIfTrue="1" operator="equal">
      <formula>0</formula>
    </cfRule>
  </conditionalFormatting>
  <conditionalFormatting sqref="AI46:AT50">
    <cfRule type="expression" dxfId="54" priority="11" stopIfTrue="1">
      <formula>$U46=""</formula>
    </cfRule>
  </conditionalFormatting>
  <conditionalFormatting sqref="AG46:AH50">
    <cfRule type="expression" dxfId="53" priority="10" stopIfTrue="1">
      <formula>$U46=""</formula>
    </cfRule>
  </conditionalFormatting>
  <conditionalFormatting sqref="AD11:AF30">
    <cfRule type="expression" dxfId="52" priority="8" stopIfTrue="1">
      <formula>$AD11&gt;100%</formula>
    </cfRule>
  </conditionalFormatting>
  <conditionalFormatting sqref="U6">
    <cfRule type="cellIs" dxfId="51" priority="5" stopIfTrue="1" operator="equal">
      <formula>0</formula>
    </cfRule>
  </conditionalFormatting>
  <conditionalFormatting sqref="V5:AT6">
    <cfRule type="cellIs" dxfId="50" priority="4" stopIfTrue="1" operator="lessThanOrEqual">
      <formula>0</formula>
    </cfRule>
  </conditionalFormatting>
  <conditionalFormatting sqref="R8:AT9">
    <cfRule type="expression" dxfId="49" priority="2">
      <formula>SUM($AA$11:$AA$30)&gt;0</formula>
    </cfRule>
  </conditionalFormatting>
  <conditionalFormatting sqref="U11:X30">
    <cfRule type="expression" dxfId="48" priority="1">
      <formula>$AA11&lt;&gt;""</formula>
    </cfRule>
  </conditionalFormatting>
  <conditionalFormatting sqref="AF36:AT40">
    <cfRule type="expression" dxfId="47" priority="35" stopIfTrue="1">
      <formula>$AB36=""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6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6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6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6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6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L11:T30" unlockedFormula="1"/>
    <ignoredError sqref="E46:E50 E56:E65 E69:E76 E78:E85 E90:E99 E109:E113 E103:E107 E36:E40 E117:E129" numberStoredAsText="1"/>
    <ignoredError sqref="F11:K30" formulaRange="1" unlockedFormula="1"/>
    <ignoredError sqref="E11:E30"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2301"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2302"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2303"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2304"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2305"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2306"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2307"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2308"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2664" r:id="rId24" name="Drop Down 376">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2665" r:id="rId25" name="Drop Down 377">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2666" r:id="rId26" name="Drop Down 378">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2667" r:id="rId27" name="Drop Down 379">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2668" r:id="rId28" name="Drop Down 380">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2669" r:id="rId29" name="Drop Down 381">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2670" r:id="rId30" name="Drop Down 382">
              <controlPr defaultSize="0" autoLine="0" autoPict="0">
                <anchor moveWithCells="1" sizeWithCells="1">
                  <from>
                    <xdr:col>17</xdr:col>
                    <xdr:colOff>190500</xdr:colOff>
                    <xdr:row>38</xdr:row>
                    <xdr:rowOff>9525</xdr:rowOff>
                  </from>
                  <to>
                    <xdr:col>26</xdr:col>
                    <xdr:colOff>238125</xdr:colOff>
                    <xdr:row>38</xdr:row>
                    <xdr:rowOff>238125</xdr:rowOff>
                  </to>
                </anchor>
              </controlPr>
            </control>
          </mc:Choice>
        </mc:AlternateContent>
        <mc:AlternateContent xmlns:mc="http://schemas.openxmlformats.org/markup-compatibility/2006">
          <mc:Choice Requires="x14">
            <control shapeId="12671" r:id="rId31" name="Drop Down 383">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2672" r:id="rId32" name="Drop Down 384">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2673" r:id="rId33" name="Drop Down 385">
              <controlPr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2674" r:id="rId34" name="Drop Down 386">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2675" r:id="rId35" name="Drop Down 387">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2661" r:id="rId36" name="Drop Down 373">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2662" r:id="rId37" name="Drop Down 374">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2663" r:id="rId38" name="Drop Down 375">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1"/>
    <pageSetUpPr fitToPage="1"/>
  </sheetPr>
  <dimension ref="B1:AV151"/>
  <sheetViews>
    <sheetView showGridLines="0" zoomScaleNormal="100" zoomScaleSheetLayoutView="90" workbookViewId="0">
      <selection activeCell="AB11" sqref="AB11:AC11"/>
    </sheetView>
  </sheetViews>
  <sheetFormatPr defaultRowHeight="12.75" x14ac:dyDescent="0.2"/>
  <cols>
    <col min="1" max="2" width="0.7109375" customWidth="1"/>
    <col min="3" max="4" width="1.42578125" customWidth="1"/>
    <col min="5" max="27" width="3.7109375" customWidth="1"/>
    <col min="28" max="29" width="4.42578125" customWidth="1"/>
    <col min="30" max="34" width="4.28515625" customWidth="1"/>
    <col min="35" max="39" width="3.7109375" customWidth="1"/>
    <col min="40" max="42" width="7.28515625" customWidth="1"/>
    <col min="43" max="46" width="3.7109375" customWidth="1"/>
    <col min="47" max="47" width="2.28515625" customWidth="1"/>
    <col min="48" max="48" width="0.7109375" customWidth="1"/>
    <col min="49" max="53" width="3.7109375" customWidth="1"/>
  </cols>
  <sheetData>
    <row r="1" spans="2:48" ht="3.75" customHeight="1" thickBot="1" x14ac:dyDescent="0.25"/>
    <row r="2" spans="2:48"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12"/>
    </row>
    <row r="3" spans="2:48"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8" t="str">
        <f>'Project Data'!R3</f>
        <v xml:space="preserve">OSP Budget Revision Date: </v>
      </c>
      <c r="AR3" s="507">
        <f>Var_SpreadsheetRevisionDate</f>
        <v>44910</v>
      </c>
      <c r="AS3" s="507"/>
      <c r="AT3" s="507"/>
      <c r="AU3" s="508"/>
      <c r="AV3" s="10"/>
    </row>
    <row r="4" spans="2:48" x14ac:dyDescent="0.2">
      <c r="B4" s="10"/>
      <c r="C4" s="605" t="s">
        <v>229</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7"/>
      <c r="AV4" s="10"/>
    </row>
    <row r="5" spans="2:48" x14ac:dyDescent="0.2">
      <c r="B5" s="10"/>
      <c r="C5" s="145"/>
      <c r="D5" s="145"/>
      <c r="E5" s="145"/>
      <c r="F5" s="145"/>
      <c r="G5" s="146" t="s">
        <v>0</v>
      </c>
      <c r="H5" s="145"/>
      <c r="I5" s="145"/>
      <c r="J5" s="145"/>
      <c r="K5" s="145"/>
      <c r="L5" s="145"/>
      <c r="M5" s="145"/>
      <c r="N5" s="145"/>
      <c r="O5" s="145"/>
      <c r="P5" s="145"/>
      <c r="Q5" s="145"/>
      <c r="R5" s="145"/>
      <c r="S5" s="145"/>
      <c r="T5" s="145"/>
      <c r="U5" s="145"/>
      <c r="V5" s="606">
        <f>IF(Data_ProjectStartDate&gt;=Var_EarliestProjectStartDate,TEXT(DATE(YEAR(Data_ProjectStartDate)+5,MONTH(Data_ProjectStartDate),DAY(Data_ProjectStartDate))," mmmm d, yyyy") &amp; " - " &amp; TEXT(DATE(YEAR(Data_ProjectStartDate)+6,MONTH(Data_ProjectStartDate),DAY(Data_ProjectStartDate)-1)," mmmm d, yyyy"),0)</f>
        <v>0</v>
      </c>
      <c r="W5" s="606"/>
      <c r="X5" s="606"/>
      <c r="Y5" s="606"/>
      <c r="Z5" s="606"/>
      <c r="AA5" s="606"/>
      <c r="AB5" s="606"/>
      <c r="AC5" s="606"/>
      <c r="AD5" s="606"/>
      <c r="AE5" s="606"/>
      <c r="AF5" s="606"/>
      <c r="AG5" s="610">
        <f>Data_ProjectTitle</f>
        <v>0</v>
      </c>
      <c r="AH5" s="610"/>
      <c r="AI5" s="610"/>
      <c r="AJ5" s="610"/>
      <c r="AK5" s="610"/>
      <c r="AL5" s="610"/>
      <c r="AM5" s="610"/>
      <c r="AN5" s="610"/>
      <c r="AO5" s="610"/>
      <c r="AP5" s="610"/>
      <c r="AQ5" s="610"/>
      <c r="AR5" s="610"/>
      <c r="AS5" s="610"/>
      <c r="AT5" s="610"/>
      <c r="AU5" s="145"/>
      <c r="AV5" s="10"/>
    </row>
    <row r="6" spans="2:48" x14ac:dyDescent="0.2">
      <c r="B6" s="10"/>
      <c r="C6" s="145"/>
      <c r="D6" s="145"/>
      <c r="E6" s="145"/>
      <c r="F6" s="145"/>
      <c r="G6" s="146" t="s">
        <v>477</v>
      </c>
      <c r="H6" s="145"/>
      <c r="I6" s="145"/>
      <c r="J6" s="145"/>
      <c r="K6" s="145"/>
      <c r="L6" s="145"/>
      <c r="M6" s="145"/>
      <c r="N6" s="145"/>
      <c r="O6" s="145"/>
      <c r="P6" s="145"/>
      <c r="Q6" s="145"/>
      <c r="R6" s="145"/>
      <c r="S6" s="145"/>
      <c r="T6" s="145"/>
      <c r="U6" s="146"/>
      <c r="V6" s="606">
        <f>Data_PIName</f>
        <v>0</v>
      </c>
      <c r="W6" s="606"/>
      <c r="X6" s="606"/>
      <c r="Y6" s="606"/>
      <c r="Z6" s="606"/>
      <c r="AA6" s="606"/>
      <c r="AB6" s="606"/>
      <c r="AC6" s="606"/>
      <c r="AD6" s="606"/>
      <c r="AE6" s="606"/>
      <c r="AF6" s="606"/>
      <c r="AG6" s="610"/>
      <c r="AH6" s="610"/>
      <c r="AI6" s="610"/>
      <c r="AJ6" s="610"/>
      <c r="AK6" s="610"/>
      <c r="AL6" s="610"/>
      <c r="AM6" s="610"/>
      <c r="AN6" s="610"/>
      <c r="AO6" s="610"/>
      <c r="AP6" s="610"/>
      <c r="AQ6" s="610"/>
      <c r="AR6" s="610"/>
      <c r="AS6" s="610"/>
      <c r="AT6" s="610"/>
      <c r="AU6" s="145" t="s">
        <v>167</v>
      </c>
      <c r="AV6" s="10"/>
    </row>
    <row r="7" spans="2:48" x14ac:dyDescent="0.2">
      <c r="B7" s="10"/>
      <c r="C7" s="147"/>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237"/>
      <c r="AE7" s="237"/>
      <c r="AF7" s="237"/>
      <c r="AG7" s="237"/>
      <c r="AH7" s="237"/>
      <c r="AI7" s="237"/>
      <c r="AJ7" s="237"/>
      <c r="AK7" s="237"/>
      <c r="AL7" s="237"/>
      <c r="AM7" s="237"/>
      <c r="AN7" s="237"/>
      <c r="AO7" s="237"/>
      <c r="AP7" s="237"/>
      <c r="AQ7" s="237"/>
      <c r="AR7" s="237"/>
      <c r="AS7" s="237"/>
      <c r="AT7" s="237"/>
      <c r="AU7" s="148"/>
      <c r="AV7" s="10"/>
    </row>
    <row r="8" spans="2:48" x14ac:dyDescent="0.2">
      <c r="B8" s="10"/>
      <c r="C8" s="137"/>
      <c r="D8" s="137"/>
      <c r="E8" s="137"/>
      <c r="F8" s="137"/>
      <c r="G8" s="137"/>
      <c r="H8" s="137"/>
      <c r="I8" s="137"/>
      <c r="J8" s="137"/>
      <c r="K8" s="137"/>
      <c r="L8" s="137"/>
      <c r="M8" s="137"/>
      <c r="N8" s="137"/>
      <c r="O8" s="137"/>
      <c r="P8" s="137"/>
      <c r="Q8" s="137"/>
      <c r="R8" s="613" t="str">
        <f>CONCATENATE("Please note: Post-docs, as exempt employees, must be paid $",Salary_MinimumFLSAPostDoc_Annual_Y6," annually (or $",Salary_MinimumFLSAPostDoc_Academic_Y6," per academic year) in order to meet UWM salary standards.  Please update the post-doc base salary below (indicated in red) to reflect these requirements.")</f>
        <v>Please note: Post-docs, as exempt employees, must be paid $47476 annually (or $38845 per academic year) in order to meet UWM salary standards.  Please update the post-doc base salary below (indicated in red) to reflect these requirements.</v>
      </c>
      <c r="S8" s="613"/>
      <c r="T8" s="613"/>
      <c r="U8" s="613"/>
      <c r="V8" s="613"/>
      <c r="W8" s="613"/>
      <c r="X8" s="613"/>
      <c r="Y8" s="613"/>
      <c r="Z8" s="613"/>
      <c r="AA8" s="613"/>
      <c r="AB8" s="613"/>
      <c r="AC8" s="613"/>
      <c r="AD8" s="613"/>
      <c r="AE8" s="613"/>
      <c r="AF8" s="613"/>
      <c r="AG8" s="613"/>
      <c r="AH8" s="613"/>
      <c r="AI8" s="613"/>
      <c r="AJ8" s="613"/>
      <c r="AK8" s="613"/>
      <c r="AL8" s="613"/>
      <c r="AM8" s="613"/>
      <c r="AN8" s="613"/>
      <c r="AO8" s="613"/>
      <c r="AP8" s="613"/>
      <c r="AQ8" s="613"/>
      <c r="AR8" s="613"/>
      <c r="AS8" s="613"/>
      <c r="AT8" s="613"/>
      <c r="AU8" s="137"/>
      <c r="AV8" s="10"/>
    </row>
    <row r="9" spans="2:48" ht="13.5" thickBot="1" x14ac:dyDescent="0.25">
      <c r="B9" s="10"/>
      <c r="C9" s="137"/>
      <c r="D9" s="142" t="s">
        <v>132</v>
      </c>
      <c r="E9" s="137"/>
      <c r="F9" s="137"/>
      <c r="G9" s="137"/>
      <c r="H9" s="137"/>
      <c r="I9" s="137"/>
      <c r="J9" s="137"/>
      <c r="K9" s="137"/>
      <c r="L9" s="137"/>
      <c r="M9" s="137"/>
      <c r="N9" s="137"/>
      <c r="O9" s="137"/>
      <c r="P9" s="137"/>
      <c r="Q9" s="137"/>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137"/>
      <c r="AV9" s="10"/>
    </row>
    <row r="10" spans="2:48" ht="28.5" customHeight="1" thickBot="1" x14ac:dyDescent="0.25">
      <c r="B10" s="10"/>
      <c r="C10" s="137"/>
      <c r="D10" s="137"/>
      <c r="E10" s="137"/>
      <c r="F10" s="608" t="s">
        <v>26</v>
      </c>
      <c r="G10" s="579"/>
      <c r="H10" s="579"/>
      <c r="I10" s="579"/>
      <c r="J10" s="579"/>
      <c r="K10" s="580"/>
      <c r="L10" s="578" t="s">
        <v>27</v>
      </c>
      <c r="M10" s="579"/>
      <c r="N10" s="580"/>
      <c r="O10" s="578" t="s">
        <v>28</v>
      </c>
      <c r="P10" s="579"/>
      <c r="Q10" s="579"/>
      <c r="R10" s="579"/>
      <c r="S10" s="579"/>
      <c r="T10" s="580"/>
      <c r="U10" s="578" t="s">
        <v>29</v>
      </c>
      <c r="V10" s="579"/>
      <c r="W10" s="579"/>
      <c r="X10" s="580"/>
      <c r="Y10" s="578" t="s">
        <v>48</v>
      </c>
      <c r="Z10" s="579"/>
      <c r="AA10" s="580"/>
      <c r="AB10" s="578" t="s">
        <v>30</v>
      </c>
      <c r="AC10" s="580"/>
      <c r="AD10" s="609" t="s">
        <v>49</v>
      </c>
      <c r="AE10" s="509"/>
      <c r="AF10" s="509"/>
      <c r="AG10" s="509" t="s">
        <v>31</v>
      </c>
      <c r="AH10" s="510"/>
      <c r="AI10" s="517" t="s">
        <v>32</v>
      </c>
      <c r="AJ10" s="517"/>
      <c r="AK10" s="517"/>
      <c r="AL10" s="517"/>
      <c r="AM10" s="517" t="s">
        <v>33</v>
      </c>
      <c r="AN10" s="517"/>
      <c r="AO10" s="578" t="s">
        <v>90</v>
      </c>
      <c r="AP10" s="580"/>
      <c r="AQ10" s="517" t="s">
        <v>34</v>
      </c>
      <c r="AR10" s="517"/>
      <c r="AS10" s="517"/>
      <c r="AT10" s="609"/>
      <c r="AU10" s="137"/>
      <c r="AV10" s="10"/>
    </row>
    <row r="11" spans="2:48" ht="18" customHeight="1" thickBot="1" x14ac:dyDescent="0.25">
      <c r="B11" s="10"/>
      <c r="C11" s="137"/>
      <c r="D11" s="137"/>
      <c r="E11" s="149" t="s">
        <v>91</v>
      </c>
      <c r="F11" s="743">
        <f>'Budget Period 1'!F11:K11</f>
        <v>0</v>
      </c>
      <c r="G11" s="744"/>
      <c r="H11" s="744"/>
      <c r="I11" s="744"/>
      <c r="J11" s="744"/>
      <c r="K11" s="745"/>
      <c r="L11" s="740" t="str">
        <f>CHOOSE('Budget Period 1'!L11,"",'Drop-Down_Options'!$B$25,'Drop-Down_Options'!$B$26,'Drop-Down_Options'!$B$27,'Drop-Down_Options'!$B$28)</f>
        <v/>
      </c>
      <c r="M11" s="741"/>
      <c r="N11" s="742"/>
      <c r="O11" s="740" t="str">
        <f>CHOOSE('Budget Period 1'!O11,"",'Drop-Down_Options'!$B$35,'Drop-Down_Options'!$B$36,"Classified","LTE")</f>
        <v/>
      </c>
      <c r="P11" s="741"/>
      <c r="Q11" s="741"/>
      <c r="R11" s="741"/>
      <c r="S11" s="741"/>
      <c r="T11" s="742"/>
      <c r="U11" s="737">
        <f>'Budget Period 5'!U11*(1+IF(L11="PI",Data_SalaryInflationRatePI,Data_SalaryInflationRate))</f>
        <v>0</v>
      </c>
      <c r="V11" s="738"/>
      <c r="W11" s="738"/>
      <c r="X11" s="739"/>
      <c r="Y11" s="113">
        <v>1</v>
      </c>
      <c r="Z11" s="116"/>
      <c r="AA11" s="321" t="str">
        <f t="shared" ref="AA11:AA30" si="0">IF(AND(L11="Post Doc",OR(AND(O11="Academic",U11&lt;Salary_MinimumFLSAPostDoc_Academic_Y6),AND(O11="Annual",U11&lt;Salary_MinimumFLSAPostDoc_Annual_Y6))),1,"")</f>
        <v/>
      </c>
      <c r="AB11" s="627"/>
      <c r="AC11" s="628"/>
      <c r="AD11" s="623"/>
      <c r="AE11" s="624"/>
      <c r="AF11" s="624"/>
      <c r="AG11" s="621">
        <f t="shared" ref="AG11:AG30" si="1">AB11*AD11</f>
        <v>0</v>
      </c>
      <c r="AH11" s="622"/>
      <c r="AI11" s="602">
        <f>(IF(OR('Budget Period 1'!L11&lt;2,'Budget Period 1'!O11&lt;2),0,IF(OR('Budget Period 1'!O11=4,'Budget Period 1'!O11=5),U11*2080/12*AB11*AD11,(U11/(CHOOSE('Budget Period 1'!O11,0,9,12,0,0))*AB11*AD11))))</f>
        <v>0</v>
      </c>
      <c r="AJ11" s="603"/>
      <c r="AK11" s="603"/>
      <c r="AL11" s="604"/>
      <c r="AM11" s="787">
        <f>IF(OR('Budget Period 1'!L11&lt;2,'Budget Period 1'!O11&lt;2),0,IF('Budget Period 1'!L11=4,FringeRate_Y6_PostDoc,CHOOSE('Budget Period 1'!O11,0,FringeRate_Y6_Faculty,FringeRate_Y6_Faculty,FringeRate_Y6_Classified,FringeRate_Y6_LTE)))</f>
        <v>0</v>
      </c>
      <c r="AN11" s="788"/>
      <c r="AO11" s="789">
        <f>AI11*AM11</f>
        <v>0</v>
      </c>
      <c r="AP11" s="790"/>
      <c r="AQ11" s="602">
        <f>AI11+AO11</f>
        <v>0</v>
      </c>
      <c r="AR11" s="603"/>
      <c r="AS11" s="603"/>
      <c r="AT11" s="611"/>
      <c r="AU11" s="137"/>
      <c r="AV11" s="10"/>
    </row>
    <row r="12" spans="2:48" ht="18" customHeight="1" thickBot="1" x14ac:dyDescent="0.25">
      <c r="B12" s="10"/>
      <c r="C12" s="137"/>
      <c r="D12" s="137"/>
      <c r="E12" s="149" t="s">
        <v>92</v>
      </c>
      <c r="F12" s="722">
        <f>'Budget Period 1'!F12:K12</f>
        <v>0</v>
      </c>
      <c r="G12" s="723"/>
      <c r="H12" s="723"/>
      <c r="I12" s="723"/>
      <c r="J12" s="723"/>
      <c r="K12" s="724"/>
      <c r="L12" s="725" t="str">
        <f>CHOOSE('Budget Period 1'!L12,"",'Drop-Down_Options'!$B$25,'Drop-Down_Options'!$B$26,'Drop-Down_Options'!$B$27,'Drop-Down_Options'!$B$28)</f>
        <v/>
      </c>
      <c r="M12" s="726"/>
      <c r="N12" s="727"/>
      <c r="O12" s="725" t="str">
        <f>CHOOSE('Budget Period 1'!O12,"",'Drop-Down_Options'!$B$35,'Drop-Down_Options'!$B$36,"Classified","LTE")</f>
        <v/>
      </c>
      <c r="P12" s="726"/>
      <c r="Q12" s="726"/>
      <c r="R12" s="726"/>
      <c r="S12" s="726"/>
      <c r="T12" s="727"/>
      <c r="U12" s="719">
        <f>'Budget Period 5'!U12*(1+IF(L12="PI",Data_SalaryInflationRatePI,Data_SalaryInflationRate))</f>
        <v>0</v>
      </c>
      <c r="V12" s="720"/>
      <c r="W12" s="720"/>
      <c r="X12" s="721"/>
      <c r="Y12" s="114">
        <v>1</v>
      </c>
      <c r="Z12" s="118"/>
      <c r="AA12" s="321" t="str">
        <f t="shared" si="0"/>
        <v/>
      </c>
      <c r="AB12" s="434"/>
      <c r="AC12" s="436"/>
      <c r="AD12" s="625"/>
      <c r="AE12" s="626"/>
      <c r="AF12" s="626"/>
      <c r="AG12" s="535">
        <f t="shared" si="1"/>
        <v>0</v>
      </c>
      <c r="AH12" s="536"/>
      <c r="AI12" s="530">
        <f>(IF(OR('Budget Period 1'!L12&lt;2,'Budget Period 1'!O12&lt;2),0,IF(OR('Budget Period 1'!O12=4,'Budget Period 1'!O12=5),U12*2080/12*AB12*AD12,(U12/(CHOOSE('Budget Period 1'!O12,0,9,12,0,0))*AB12*AD12))))</f>
        <v>0</v>
      </c>
      <c r="AJ12" s="531"/>
      <c r="AK12" s="531"/>
      <c r="AL12" s="532"/>
      <c r="AM12" s="783">
        <f>IF(OR('Budget Period 1'!L12&lt;2,'Budget Period 1'!O12&lt;2),0,IF('Budget Period 1'!L12=4,FringeRate_Y6_PostDoc,CHOOSE('Budget Period 1'!O12,0,FringeRate_Y6_Faculty,FringeRate_Y6_Faculty,FringeRate_Y6_Classified,FringeRate_Y6_LTE)))</f>
        <v>0</v>
      </c>
      <c r="AN12" s="784"/>
      <c r="AO12" s="785">
        <f t="shared" ref="AO12:AO30" si="2">AI12*AM12</f>
        <v>0</v>
      </c>
      <c r="AP12" s="786"/>
      <c r="AQ12" s="530">
        <f t="shared" ref="AQ12:AQ30" si="3">AI12+AO12</f>
        <v>0</v>
      </c>
      <c r="AR12" s="531"/>
      <c r="AS12" s="531"/>
      <c r="AT12" s="612"/>
      <c r="AU12" s="137"/>
      <c r="AV12" s="10"/>
    </row>
    <row r="13" spans="2:48" ht="18" customHeight="1" thickBot="1" x14ac:dyDescent="0.25">
      <c r="B13" s="10"/>
      <c r="C13" s="137"/>
      <c r="D13" s="137"/>
      <c r="E13" s="149" t="s">
        <v>93</v>
      </c>
      <c r="F13" s="722">
        <f>'Budget Period 1'!F13:K13</f>
        <v>0</v>
      </c>
      <c r="G13" s="723"/>
      <c r="H13" s="723"/>
      <c r="I13" s="723"/>
      <c r="J13" s="723"/>
      <c r="K13" s="724"/>
      <c r="L13" s="725" t="str">
        <f>CHOOSE('Budget Period 1'!L13,"",'Drop-Down_Options'!$B$25,'Drop-Down_Options'!$B$26,'Drop-Down_Options'!$B$27,'Drop-Down_Options'!$B$28)</f>
        <v/>
      </c>
      <c r="M13" s="726"/>
      <c r="N13" s="727"/>
      <c r="O13" s="725" t="str">
        <f>CHOOSE('Budget Period 1'!O13,"",'Drop-Down_Options'!$B$35,'Drop-Down_Options'!$B$36,"Classified","LTE")</f>
        <v/>
      </c>
      <c r="P13" s="791"/>
      <c r="Q13" s="791"/>
      <c r="R13" s="791"/>
      <c r="S13" s="791"/>
      <c r="T13" s="792"/>
      <c r="U13" s="719">
        <f>'Budget Period 5'!U13*(1+IF(L13="PI",Data_SalaryInflationRatePI,Data_SalaryInflationRate))</f>
        <v>0</v>
      </c>
      <c r="V13" s="720"/>
      <c r="W13" s="720"/>
      <c r="X13" s="721"/>
      <c r="Y13" s="114">
        <v>1</v>
      </c>
      <c r="Z13" s="118"/>
      <c r="AA13" s="321" t="str">
        <f t="shared" si="0"/>
        <v/>
      </c>
      <c r="AB13" s="434"/>
      <c r="AC13" s="436"/>
      <c r="AD13" s="625"/>
      <c r="AE13" s="626"/>
      <c r="AF13" s="626"/>
      <c r="AG13" s="535">
        <f t="shared" si="1"/>
        <v>0</v>
      </c>
      <c r="AH13" s="536"/>
      <c r="AI13" s="530">
        <f>(IF(OR('Budget Period 1'!L13&lt;2,'Budget Period 1'!O13&lt;2),0,IF(OR('Budget Period 1'!O13=4,'Budget Period 1'!O13=5),U13*2080/12*AB13*AD13,(U13/(CHOOSE('Budget Period 1'!O13,0,9,12,0,0))*AB13*AD13))))</f>
        <v>0</v>
      </c>
      <c r="AJ13" s="531"/>
      <c r="AK13" s="531"/>
      <c r="AL13" s="532"/>
      <c r="AM13" s="783">
        <f>IF(OR('Budget Period 1'!L13&lt;2,'Budget Period 1'!O13&lt;2),0,IF('Budget Period 1'!L13=4,FringeRate_Y6_PostDoc,CHOOSE('Budget Period 1'!O13,0,FringeRate_Y6_Faculty,FringeRate_Y6_Faculty,FringeRate_Y6_Classified,FringeRate_Y6_LTE)))</f>
        <v>0</v>
      </c>
      <c r="AN13" s="784"/>
      <c r="AO13" s="785">
        <f t="shared" si="2"/>
        <v>0</v>
      </c>
      <c r="AP13" s="786"/>
      <c r="AQ13" s="530">
        <f t="shared" si="3"/>
        <v>0</v>
      </c>
      <c r="AR13" s="531"/>
      <c r="AS13" s="531"/>
      <c r="AT13" s="612"/>
      <c r="AU13" s="137"/>
      <c r="AV13" s="10"/>
    </row>
    <row r="14" spans="2:48" ht="18" customHeight="1" thickBot="1" x14ac:dyDescent="0.25">
      <c r="B14" s="10"/>
      <c r="C14" s="137"/>
      <c r="D14" s="137"/>
      <c r="E14" s="149" t="s">
        <v>94</v>
      </c>
      <c r="F14" s="722">
        <f>'Budget Period 1'!F14:K14</f>
        <v>0</v>
      </c>
      <c r="G14" s="723"/>
      <c r="H14" s="723"/>
      <c r="I14" s="723"/>
      <c r="J14" s="723"/>
      <c r="K14" s="724"/>
      <c r="L14" s="725" t="str">
        <f>CHOOSE('Budget Period 1'!L14,"",'Drop-Down_Options'!$B$25,'Drop-Down_Options'!$B$26,'Drop-Down_Options'!$B$27,'Drop-Down_Options'!$B$28)</f>
        <v/>
      </c>
      <c r="M14" s="726"/>
      <c r="N14" s="727"/>
      <c r="O14" s="725" t="str">
        <f>CHOOSE('Budget Period 1'!O14,"",'Drop-Down_Options'!$B$35,'Drop-Down_Options'!$B$36,"Classified","LTE")</f>
        <v/>
      </c>
      <c r="P14" s="726"/>
      <c r="Q14" s="726"/>
      <c r="R14" s="726"/>
      <c r="S14" s="726"/>
      <c r="T14" s="727"/>
      <c r="U14" s="719">
        <f>'Budget Period 5'!U14*(1+IF(L14="PI",Data_SalaryInflationRatePI,Data_SalaryInflationRate))</f>
        <v>0</v>
      </c>
      <c r="V14" s="720"/>
      <c r="W14" s="720"/>
      <c r="X14" s="721"/>
      <c r="Y14" s="114">
        <v>1</v>
      </c>
      <c r="Z14" s="118"/>
      <c r="AA14" s="321" t="str">
        <f t="shared" si="0"/>
        <v/>
      </c>
      <c r="AB14" s="434"/>
      <c r="AC14" s="436"/>
      <c r="AD14" s="625"/>
      <c r="AE14" s="626"/>
      <c r="AF14" s="626"/>
      <c r="AG14" s="535">
        <f t="shared" si="1"/>
        <v>0</v>
      </c>
      <c r="AH14" s="536"/>
      <c r="AI14" s="530">
        <f>(IF(OR('Budget Period 1'!L14&lt;2,'Budget Period 1'!O14&lt;2),0,IF(OR('Budget Period 1'!O14=4,'Budget Period 1'!O14=5),U14*2080/12*AB14*AD14,(U14/(CHOOSE('Budget Period 1'!O14,0,9,12,0,0))*AB14*AD14))))</f>
        <v>0</v>
      </c>
      <c r="AJ14" s="531"/>
      <c r="AK14" s="531"/>
      <c r="AL14" s="532"/>
      <c r="AM14" s="783">
        <f>IF(OR('Budget Period 1'!L14&lt;2,'Budget Period 1'!O14&lt;2),0,IF('Budget Period 1'!L14=4,FringeRate_Y6_PostDoc,CHOOSE('Budget Period 1'!O14,0,FringeRate_Y6_Faculty,FringeRate_Y6_Faculty,FringeRate_Y6_Classified,FringeRate_Y6_LTE)))</f>
        <v>0</v>
      </c>
      <c r="AN14" s="784"/>
      <c r="AO14" s="785">
        <f t="shared" si="2"/>
        <v>0</v>
      </c>
      <c r="AP14" s="786"/>
      <c r="AQ14" s="530">
        <f t="shared" si="3"/>
        <v>0</v>
      </c>
      <c r="AR14" s="531"/>
      <c r="AS14" s="531"/>
      <c r="AT14" s="612"/>
      <c r="AU14" s="137"/>
      <c r="AV14" s="10"/>
    </row>
    <row r="15" spans="2:48" ht="18" customHeight="1" thickBot="1" x14ac:dyDescent="0.25">
      <c r="B15" s="10"/>
      <c r="C15" s="137"/>
      <c r="D15" s="137"/>
      <c r="E15" s="149" t="s">
        <v>95</v>
      </c>
      <c r="F15" s="722">
        <f>'Budget Period 1'!F15:K15</f>
        <v>0</v>
      </c>
      <c r="G15" s="723"/>
      <c r="H15" s="723"/>
      <c r="I15" s="723"/>
      <c r="J15" s="723"/>
      <c r="K15" s="724"/>
      <c r="L15" s="725" t="str">
        <f>CHOOSE('Budget Period 1'!L15,"",'Drop-Down_Options'!$B$25,'Drop-Down_Options'!$B$26,'Drop-Down_Options'!$B$27,'Drop-Down_Options'!$B$28)</f>
        <v/>
      </c>
      <c r="M15" s="726"/>
      <c r="N15" s="727"/>
      <c r="O15" s="725" t="str">
        <f>CHOOSE('Budget Period 1'!O15,"",'Drop-Down_Options'!$B$35,'Drop-Down_Options'!$B$36,"Classified","LTE")</f>
        <v/>
      </c>
      <c r="P15" s="726"/>
      <c r="Q15" s="726"/>
      <c r="R15" s="726"/>
      <c r="S15" s="726"/>
      <c r="T15" s="727"/>
      <c r="U15" s="719">
        <f>'Budget Period 5'!U15*(1+IF(L15="PI",Data_SalaryInflationRatePI,Data_SalaryInflationRate))</f>
        <v>0</v>
      </c>
      <c r="V15" s="720"/>
      <c r="W15" s="720"/>
      <c r="X15" s="721"/>
      <c r="Y15" s="114">
        <v>1</v>
      </c>
      <c r="Z15" s="118"/>
      <c r="AA15" s="321" t="str">
        <f t="shared" si="0"/>
        <v/>
      </c>
      <c r="AB15" s="434"/>
      <c r="AC15" s="436"/>
      <c r="AD15" s="625"/>
      <c r="AE15" s="626"/>
      <c r="AF15" s="626"/>
      <c r="AG15" s="535">
        <f t="shared" si="1"/>
        <v>0</v>
      </c>
      <c r="AH15" s="536"/>
      <c r="AI15" s="530">
        <f>(IF(OR('Budget Period 1'!L15&lt;2,'Budget Period 1'!O15&lt;2),0,IF(OR('Budget Period 1'!O15=4,'Budget Period 1'!O15=5),U15*2080/12*AB15*AD15,(U15/(CHOOSE('Budget Period 1'!O15,0,9,12,0,0))*AB15*AD15))))</f>
        <v>0</v>
      </c>
      <c r="AJ15" s="531"/>
      <c r="AK15" s="531"/>
      <c r="AL15" s="532"/>
      <c r="AM15" s="783">
        <f>IF(OR('Budget Period 1'!L15&lt;2,'Budget Period 1'!O15&lt;2),0,IF('Budget Period 1'!L15=4,FringeRate_Y6_PostDoc,CHOOSE('Budget Period 1'!O15,0,FringeRate_Y6_Faculty,FringeRate_Y6_Faculty,FringeRate_Y6_Classified,FringeRate_Y6_LTE)))</f>
        <v>0</v>
      </c>
      <c r="AN15" s="784"/>
      <c r="AO15" s="785">
        <f t="shared" si="2"/>
        <v>0</v>
      </c>
      <c r="AP15" s="786"/>
      <c r="AQ15" s="530">
        <f t="shared" si="3"/>
        <v>0</v>
      </c>
      <c r="AR15" s="531"/>
      <c r="AS15" s="531"/>
      <c r="AT15" s="612"/>
      <c r="AU15" s="137"/>
      <c r="AV15" s="10"/>
    </row>
    <row r="16" spans="2:48" ht="18" customHeight="1" thickBot="1" x14ac:dyDescent="0.25">
      <c r="B16" s="10"/>
      <c r="C16" s="137"/>
      <c r="D16" s="137"/>
      <c r="E16" s="149" t="s">
        <v>96</v>
      </c>
      <c r="F16" s="722">
        <f>'Budget Period 1'!F16:K16</f>
        <v>0</v>
      </c>
      <c r="G16" s="723"/>
      <c r="H16" s="723"/>
      <c r="I16" s="723"/>
      <c r="J16" s="723"/>
      <c r="K16" s="724"/>
      <c r="L16" s="725" t="str">
        <f>CHOOSE('Budget Period 1'!L16,"",'Drop-Down_Options'!$B$25,'Drop-Down_Options'!$B$26,'Drop-Down_Options'!$B$27,'Drop-Down_Options'!$B$28)</f>
        <v/>
      </c>
      <c r="M16" s="726"/>
      <c r="N16" s="727"/>
      <c r="O16" s="725" t="str">
        <f>CHOOSE('Budget Period 1'!O16,"",'Drop-Down_Options'!$B$35,'Drop-Down_Options'!$B$36,"Classified","LTE")</f>
        <v/>
      </c>
      <c r="P16" s="726"/>
      <c r="Q16" s="726"/>
      <c r="R16" s="726"/>
      <c r="S16" s="726"/>
      <c r="T16" s="727"/>
      <c r="U16" s="719">
        <f>'Budget Period 5'!U16*(1+IF(L16="PI",Data_SalaryInflationRatePI,Data_SalaryInflationRate))</f>
        <v>0</v>
      </c>
      <c r="V16" s="720"/>
      <c r="W16" s="720"/>
      <c r="X16" s="721"/>
      <c r="Y16" s="114">
        <v>1</v>
      </c>
      <c r="Z16" s="118"/>
      <c r="AA16" s="321" t="str">
        <f t="shared" si="0"/>
        <v/>
      </c>
      <c r="AB16" s="434"/>
      <c r="AC16" s="436"/>
      <c r="AD16" s="625"/>
      <c r="AE16" s="626"/>
      <c r="AF16" s="626"/>
      <c r="AG16" s="535">
        <f t="shared" si="1"/>
        <v>0</v>
      </c>
      <c r="AH16" s="536"/>
      <c r="AI16" s="530">
        <f>(IF(OR('Budget Period 1'!L16&lt;2,'Budget Period 1'!O16&lt;2),0,IF(OR('Budget Period 1'!O16=4,'Budget Period 1'!O16=5),U16*2080/12*AB16*AD16,(U16/(CHOOSE('Budget Period 1'!O16,0,9,12,0,0))*AB16*AD16))))</f>
        <v>0</v>
      </c>
      <c r="AJ16" s="531"/>
      <c r="AK16" s="531"/>
      <c r="AL16" s="532"/>
      <c r="AM16" s="783">
        <f>IF(OR('Budget Period 1'!L16&lt;2,'Budget Period 1'!O16&lt;2),0,IF('Budget Period 1'!L16=4,FringeRate_Y6_PostDoc,CHOOSE('Budget Period 1'!O16,0,FringeRate_Y6_Faculty,FringeRate_Y6_Faculty,FringeRate_Y6_Classified,FringeRate_Y6_LTE)))</f>
        <v>0</v>
      </c>
      <c r="AN16" s="784"/>
      <c r="AO16" s="785">
        <f t="shared" si="2"/>
        <v>0</v>
      </c>
      <c r="AP16" s="786"/>
      <c r="AQ16" s="530">
        <f t="shared" si="3"/>
        <v>0</v>
      </c>
      <c r="AR16" s="531"/>
      <c r="AS16" s="531"/>
      <c r="AT16" s="612"/>
      <c r="AU16" s="137"/>
      <c r="AV16" s="10"/>
    </row>
    <row r="17" spans="2:48" ht="18" customHeight="1" thickBot="1" x14ac:dyDescent="0.25">
      <c r="B17" s="10"/>
      <c r="C17" s="137"/>
      <c r="D17" s="137"/>
      <c r="E17" s="149" t="s">
        <v>97</v>
      </c>
      <c r="F17" s="722">
        <f>'Budget Period 1'!F17:K17</f>
        <v>0</v>
      </c>
      <c r="G17" s="723"/>
      <c r="H17" s="723"/>
      <c r="I17" s="723"/>
      <c r="J17" s="723"/>
      <c r="K17" s="724"/>
      <c r="L17" s="725" t="str">
        <f>CHOOSE('Budget Period 1'!L17,"",'Drop-Down_Options'!$B$25,'Drop-Down_Options'!$B$26,'Drop-Down_Options'!$B$27,'Drop-Down_Options'!$B$28)</f>
        <v/>
      </c>
      <c r="M17" s="726"/>
      <c r="N17" s="727"/>
      <c r="O17" s="725" t="str">
        <f>CHOOSE('Budget Period 1'!O17,"",'Drop-Down_Options'!$B$35,'Drop-Down_Options'!$B$36,"Classified","LTE")</f>
        <v/>
      </c>
      <c r="P17" s="726"/>
      <c r="Q17" s="726"/>
      <c r="R17" s="726"/>
      <c r="S17" s="726"/>
      <c r="T17" s="727"/>
      <c r="U17" s="719">
        <f>'Budget Period 5'!U17*(1+IF(L17="PI",Data_SalaryInflationRatePI,Data_SalaryInflationRate))</f>
        <v>0</v>
      </c>
      <c r="V17" s="720"/>
      <c r="W17" s="720"/>
      <c r="X17" s="721"/>
      <c r="Y17" s="114">
        <v>1</v>
      </c>
      <c r="Z17" s="118"/>
      <c r="AA17" s="321" t="str">
        <f t="shared" si="0"/>
        <v/>
      </c>
      <c r="AB17" s="434"/>
      <c r="AC17" s="436"/>
      <c r="AD17" s="625"/>
      <c r="AE17" s="626"/>
      <c r="AF17" s="626"/>
      <c r="AG17" s="535">
        <f t="shared" si="1"/>
        <v>0</v>
      </c>
      <c r="AH17" s="536"/>
      <c r="AI17" s="530">
        <f>(IF(OR('Budget Period 1'!L17&lt;2,'Budget Period 1'!O17&lt;2),0,IF(OR('Budget Period 1'!O17=4,'Budget Period 1'!O17=5),U17*2080/12*AB17*AD17,(U17/(CHOOSE('Budget Period 1'!O17,0,9,12,0,0))*AB17*AD17))))</f>
        <v>0</v>
      </c>
      <c r="AJ17" s="531"/>
      <c r="AK17" s="531"/>
      <c r="AL17" s="532"/>
      <c r="AM17" s="783">
        <f>IF(OR('Budget Period 1'!L17&lt;2,'Budget Period 1'!O17&lt;2),0,IF('Budget Period 1'!L17=4,FringeRate_Y6_PostDoc,CHOOSE('Budget Period 1'!O17,0,FringeRate_Y6_Faculty,FringeRate_Y6_Faculty,FringeRate_Y6_Classified,FringeRate_Y6_LTE)))</f>
        <v>0</v>
      </c>
      <c r="AN17" s="784"/>
      <c r="AO17" s="785">
        <f t="shared" si="2"/>
        <v>0</v>
      </c>
      <c r="AP17" s="786"/>
      <c r="AQ17" s="530">
        <f t="shared" si="3"/>
        <v>0</v>
      </c>
      <c r="AR17" s="531"/>
      <c r="AS17" s="531"/>
      <c r="AT17" s="612"/>
      <c r="AU17" s="137"/>
      <c r="AV17" s="10"/>
    </row>
    <row r="18" spans="2:48" ht="18" customHeight="1" thickBot="1" x14ac:dyDescent="0.25">
      <c r="B18" s="10"/>
      <c r="C18" s="137"/>
      <c r="D18" s="137"/>
      <c r="E18" s="149" t="s">
        <v>98</v>
      </c>
      <c r="F18" s="722">
        <f>'Budget Period 1'!F18:K18</f>
        <v>0</v>
      </c>
      <c r="G18" s="723"/>
      <c r="H18" s="723"/>
      <c r="I18" s="723"/>
      <c r="J18" s="723"/>
      <c r="K18" s="724"/>
      <c r="L18" s="725" t="str">
        <f>CHOOSE('Budget Period 1'!L18,"",'Drop-Down_Options'!$B$25,'Drop-Down_Options'!$B$26,'Drop-Down_Options'!$B$27,'Drop-Down_Options'!$B$28)</f>
        <v/>
      </c>
      <c r="M18" s="726"/>
      <c r="N18" s="727"/>
      <c r="O18" s="725" t="str">
        <f>CHOOSE('Budget Period 1'!O18,"",'Drop-Down_Options'!$B$35,'Drop-Down_Options'!$B$36,"Classified","LTE")</f>
        <v/>
      </c>
      <c r="P18" s="726"/>
      <c r="Q18" s="726"/>
      <c r="R18" s="726"/>
      <c r="S18" s="726"/>
      <c r="T18" s="727"/>
      <c r="U18" s="719">
        <f>'Budget Period 5'!U18*(1+IF(L18="PI",Data_SalaryInflationRatePI,Data_SalaryInflationRate))</f>
        <v>0</v>
      </c>
      <c r="V18" s="720"/>
      <c r="W18" s="720"/>
      <c r="X18" s="721"/>
      <c r="Y18" s="114">
        <v>1</v>
      </c>
      <c r="Z18" s="118"/>
      <c r="AA18" s="321" t="str">
        <f t="shared" si="0"/>
        <v/>
      </c>
      <c r="AB18" s="434"/>
      <c r="AC18" s="436"/>
      <c r="AD18" s="625"/>
      <c r="AE18" s="626"/>
      <c r="AF18" s="626"/>
      <c r="AG18" s="535">
        <f t="shared" si="1"/>
        <v>0</v>
      </c>
      <c r="AH18" s="536"/>
      <c r="AI18" s="530">
        <f>(IF(OR('Budget Period 1'!L18&lt;2,'Budget Period 1'!O18&lt;2),0,IF(OR('Budget Period 1'!O18=4,'Budget Period 1'!O18=5),U18*2080/12*AB18*AD18,(U18/(CHOOSE('Budget Period 1'!O18,0,9,12,0,0))*AB18*AD18))))</f>
        <v>0</v>
      </c>
      <c r="AJ18" s="531"/>
      <c r="AK18" s="531"/>
      <c r="AL18" s="532"/>
      <c r="AM18" s="783">
        <f>IF(OR('Budget Period 1'!L18&lt;2,'Budget Period 1'!O18&lt;2),0,IF('Budget Period 1'!L18=4,FringeRate_Y6_PostDoc,CHOOSE('Budget Period 1'!O18,0,FringeRate_Y6_Faculty,FringeRate_Y6_Faculty,FringeRate_Y6_Classified,FringeRate_Y6_LTE)))</f>
        <v>0</v>
      </c>
      <c r="AN18" s="784"/>
      <c r="AO18" s="785">
        <f t="shared" si="2"/>
        <v>0</v>
      </c>
      <c r="AP18" s="786"/>
      <c r="AQ18" s="530">
        <f t="shared" si="3"/>
        <v>0</v>
      </c>
      <c r="AR18" s="531"/>
      <c r="AS18" s="531"/>
      <c r="AT18" s="612"/>
      <c r="AU18" s="137"/>
      <c r="AV18" s="10"/>
    </row>
    <row r="19" spans="2:48" ht="18" customHeight="1" thickBot="1" x14ac:dyDescent="0.25">
      <c r="B19" s="10"/>
      <c r="C19" s="137"/>
      <c r="D19" s="137"/>
      <c r="E19" s="149" t="s">
        <v>99</v>
      </c>
      <c r="F19" s="722">
        <f>'Budget Period 1'!F19:K19</f>
        <v>0</v>
      </c>
      <c r="G19" s="723"/>
      <c r="H19" s="723"/>
      <c r="I19" s="723"/>
      <c r="J19" s="723"/>
      <c r="K19" s="724"/>
      <c r="L19" s="725" t="str">
        <f>CHOOSE('Budget Period 1'!L19,"",'Drop-Down_Options'!$B$25,'Drop-Down_Options'!$B$26,'Drop-Down_Options'!$B$27,'Drop-Down_Options'!$B$28)</f>
        <v/>
      </c>
      <c r="M19" s="726"/>
      <c r="N19" s="727"/>
      <c r="O19" s="725" t="str">
        <f>CHOOSE('Budget Period 1'!O19,"",'Drop-Down_Options'!$B$35,'Drop-Down_Options'!$B$36,"Classified","LTE")</f>
        <v/>
      </c>
      <c r="P19" s="726"/>
      <c r="Q19" s="726"/>
      <c r="R19" s="726"/>
      <c r="S19" s="726"/>
      <c r="T19" s="727"/>
      <c r="U19" s="719">
        <f>'Budget Period 5'!U19*(1+IF(L19="PI",Data_SalaryInflationRatePI,Data_SalaryInflationRate))</f>
        <v>0</v>
      </c>
      <c r="V19" s="720"/>
      <c r="W19" s="720"/>
      <c r="X19" s="721"/>
      <c r="Y19" s="114">
        <v>1</v>
      </c>
      <c r="Z19" s="118"/>
      <c r="AA19" s="321" t="str">
        <f t="shared" si="0"/>
        <v/>
      </c>
      <c r="AB19" s="434"/>
      <c r="AC19" s="436"/>
      <c r="AD19" s="625"/>
      <c r="AE19" s="626"/>
      <c r="AF19" s="626"/>
      <c r="AG19" s="535">
        <f t="shared" si="1"/>
        <v>0</v>
      </c>
      <c r="AH19" s="536"/>
      <c r="AI19" s="530">
        <f>(IF(OR('Budget Period 1'!L19&lt;2,'Budget Period 1'!O19&lt;2),0,IF(OR('Budget Period 1'!O19=4,'Budget Period 1'!O19=5),U19*2080/12*AB19*AD19,(U19/(CHOOSE('Budget Period 1'!O19,0,9,12,0,0))*AB19*AD19))))</f>
        <v>0</v>
      </c>
      <c r="AJ19" s="531"/>
      <c r="AK19" s="531"/>
      <c r="AL19" s="532"/>
      <c r="AM19" s="783">
        <f>IF(OR('Budget Period 1'!L19&lt;2,'Budget Period 1'!O19&lt;2),0,IF('Budget Period 1'!L19=4,FringeRate_Y6_PostDoc,CHOOSE('Budget Period 1'!O19,0,FringeRate_Y6_Faculty,FringeRate_Y6_Faculty,FringeRate_Y6_Classified,FringeRate_Y6_LTE)))</f>
        <v>0</v>
      </c>
      <c r="AN19" s="784"/>
      <c r="AO19" s="785">
        <f t="shared" si="2"/>
        <v>0</v>
      </c>
      <c r="AP19" s="786"/>
      <c r="AQ19" s="530">
        <f t="shared" si="3"/>
        <v>0</v>
      </c>
      <c r="AR19" s="531"/>
      <c r="AS19" s="531"/>
      <c r="AT19" s="612"/>
      <c r="AU19" s="137"/>
      <c r="AV19" s="10"/>
    </row>
    <row r="20" spans="2:48" ht="18" customHeight="1" thickBot="1" x14ac:dyDescent="0.25">
      <c r="B20" s="10"/>
      <c r="C20" s="137"/>
      <c r="D20" s="137"/>
      <c r="E20" s="149" t="s">
        <v>141</v>
      </c>
      <c r="F20" s="722">
        <f>'Budget Period 1'!F20:K20</f>
        <v>0</v>
      </c>
      <c r="G20" s="723"/>
      <c r="H20" s="723"/>
      <c r="I20" s="723"/>
      <c r="J20" s="723"/>
      <c r="K20" s="724"/>
      <c r="L20" s="725" t="str">
        <f>CHOOSE('Budget Period 1'!L20,"",'Drop-Down_Options'!$B$25,'Drop-Down_Options'!$B$26,'Drop-Down_Options'!$B$27,'Drop-Down_Options'!$B$28)</f>
        <v/>
      </c>
      <c r="M20" s="726"/>
      <c r="N20" s="727"/>
      <c r="O20" s="725" t="str">
        <f>CHOOSE('Budget Period 1'!O20,"",'Drop-Down_Options'!$B$35,'Drop-Down_Options'!$B$36,"Classified","LTE")</f>
        <v/>
      </c>
      <c r="P20" s="726"/>
      <c r="Q20" s="726"/>
      <c r="R20" s="726"/>
      <c r="S20" s="726"/>
      <c r="T20" s="727"/>
      <c r="U20" s="719">
        <f>'Budget Period 5'!U20*(1+IF(L20="PI",Data_SalaryInflationRatePI,Data_SalaryInflationRate))</f>
        <v>0</v>
      </c>
      <c r="V20" s="720"/>
      <c r="W20" s="720"/>
      <c r="X20" s="721"/>
      <c r="Y20" s="114">
        <v>1</v>
      </c>
      <c r="Z20" s="118"/>
      <c r="AA20" s="321" t="str">
        <f t="shared" si="0"/>
        <v/>
      </c>
      <c r="AB20" s="434"/>
      <c r="AC20" s="436"/>
      <c r="AD20" s="625"/>
      <c r="AE20" s="626"/>
      <c r="AF20" s="626"/>
      <c r="AG20" s="535">
        <f t="shared" si="1"/>
        <v>0</v>
      </c>
      <c r="AH20" s="536"/>
      <c r="AI20" s="530">
        <f>(IF(OR('Budget Period 1'!L20&lt;2,'Budget Period 1'!O20&lt;2),0,IF(OR('Budget Period 1'!O20=4,'Budget Period 1'!O20=5),U20*2080/12*AB20*AD20,(U20/(CHOOSE('Budget Period 1'!O20,0,9,12,0,0))*AB20*AD20))))</f>
        <v>0</v>
      </c>
      <c r="AJ20" s="531"/>
      <c r="AK20" s="531"/>
      <c r="AL20" s="532"/>
      <c r="AM20" s="783">
        <f>IF(OR('Budget Period 1'!L20&lt;2,'Budget Period 1'!O20&lt;2),0,IF('Budget Period 1'!L20=4,FringeRate_Y6_PostDoc,CHOOSE('Budget Period 1'!O20,0,FringeRate_Y6_Faculty,FringeRate_Y6_Faculty,FringeRate_Y6_Classified,FringeRate_Y6_LTE)))</f>
        <v>0</v>
      </c>
      <c r="AN20" s="784"/>
      <c r="AO20" s="785">
        <f t="shared" si="2"/>
        <v>0</v>
      </c>
      <c r="AP20" s="786"/>
      <c r="AQ20" s="530">
        <f t="shared" si="3"/>
        <v>0</v>
      </c>
      <c r="AR20" s="531"/>
      <c r="AS20" s="531"/>
      <c r="AT20" s="612"/>
      <c r="AU20" s="137"/>
      <c r="AV20" s="10"/>
    </row>
    <row r="21" spans="2:48" ht="18" customHeight="1" thickBot="1" x14ac:dyDescent="0.25">
      <c r="B21" s="10"/>
      <c r="C21" s="137"/>
      <c r="D21" s="137"/>
      <c r="E21" s="149" t="s">
        <v>100</v>
      </c>
      <c r="F21" s="722">
        <f>'Budget Period 1'!F21:K21</f>
        <v>0</v>
      </c>
      <c r="G21" s="723"/>
      <c r="H21" s="723"/>
      <c r="I21" s="723"/>
      <c r="J21" s="723"/>
      <c r="K21" s="724"/>
      <c r="L21" s="725" t="str">
        <f>CHOOSE('Budget Period 1'!L21,"",'Drop-Down_Options'!$B$25,'Drop-Down_Options'!$B$26,'Drop-Down_Options'!$B$27,'Drop-Down_Options'!$B$28)</f>
        <v/>
      </c>
      <c r="M21" s="726"/>
      <c r="N21" s="727"/>
      <c r="O21" s="725" t="str">
        <f>CHOOSE('Budget Period 1'!O21,"",'Drop-Down_Options'!$B$35,'Drop-Down_Options'!$B$36,"Classified","LTE")</f>
        <v/>
      </c>
      <c r="P21" s="726"/>
      <c r="Q21" s="726"/>
      <c r="R21" s="726"/>
      <c r="S21" s="726"/>
      <c r="T21" s="727"/>
      <c r="U21" s="719">
        <f>'Budget Period 5'!U21*(1+IF(L21="PI",Data_SalaryInflationRatePI,Data_SalaryInflationRate))</f>
        <v>0</v>
      </c>
      <c r="V21" s="720"/>
      <c r="W21" s="720"/>
      <c r="X21" s="721"/>
      <c r="Y21" s="114">
        <v>1</v>
      </c>
      <c r="Z21" s="118"/>
      <c r="AA21" s="321" t="str">
        <f t="shared" si="0"/>
        <v/>
      </c>
      <c r="AB21" s="434"/>
      <c r="AC21" s="436"/>
      <c r="AD21" s="625"/>
      <c r="AE21" s="626"/>
      <c r="AF21" s="626"/>
      <c r="AG21" s="535">
        <f t="shared" si="1"/>
        <v>0</v>
      </c>
      <c r="AH21" s="536"/>
      <c r="AI21" s="530">
        <f>(IF(OR('Budget Period 1'!L21&lt;2,'Budget Period 1'!O21&lt;2),0,IF(OR('Budget Period 1'!O21=4,'Budget Period 1'!O21=5),U21*2080/12*AB21*AD21,(U21/(CHOOSE('Budget Period 1'!O21,0,9,12,0,0))*AB21*AD21))))</f>
        <v>0</v>
      </c>
      <c r="AJ21" s="531"/>
      <c r="AK21" s="531"/>
      <c r="AL21" s="532"/>
      <c r="AM21" s="783">
        <f>IF(OR('Budget Period 1'!L21&lt;2,'Budget Period 1'!O21&lt;2),0,IF('Budget Period 1'!L21=4,FringeRate_Y6_PostDoc,CHOOSE('Budget Period 1'!O21,0,FringeRate_Y6_Faculty,FringeRate_Y6_Faculty,FringeRate_Y6_Classified,FringeRate_Y6_LTE)))</f>
        <v>0</v>
      </c>
      <c r="AN21" s="784"/>
      <c r="AO21" s="785">
        <f t="shared" si="2"/>
        <v>0</v>
      </c>
      <c r="AP21" s="786"/>
      <c r="AQ21" s="530">
        <f t="shared" si="3"/>
        <v>0</v>
      </c>
      <c r="AR21" s="531"/>
      <c r="AS21" s="531"/>
      <c r="AT21" s="612"/>
      <c r="AU21" s="137"/>
      <c r="AV21" s="10"/>
    </row>
    <row r="22" spans="2:48" ht="18" customHeight="1" thickBot="1" x14ac:dyDescent="0.25">
      <c r="B22" s="10"/>
      <c r="C22" s="137"/>
      <c r="D22" s="137"/>
      <c r="E22" s="149" t="s">
        <v>101</v>
      </c>
      <c r="F22" s="722">
        <f>'Budget Period 1'!F22:K22</f>
        <v>0</v>
      </c>
      <c r="G22" s="723"/>
      <c r="H22" s="723"/>
      <c r="I22" s="723"/>
      <c r="J22" s="723"/>
      <c r="K22" s="724"/>
      <c r="L22" s="725" t="str">
        <f>CHOOSE('Budget Period 1'!L22,"",'Drop-Down_Options'!$B$25,'Drop-Down_Options'!$B$26,'Drop-Down_Options'!$B$27,'Drop-Down_Options'!$B$28)</f>
        <v/>
      </c>
      <c r="M22" s="726"/>
      <c r="N22" s="727"/>
      <c r="O22" s="725" t="str">
        <f>CHOOSE('Budget Period 1'!O22,"",'Drop-Down_Options'!$B$35,'Drop-Down_Options'!$B$36,"Classified","LTE")</f>
        <v/>
      </c>
      <c r="P22" s="726"/>
      <c r="Q22" s="726"/>
      <c r="R22" s="726"/>
      <c r="S22" s="726"/>
      <c r="T22" s="727"/>
      <c r="U22" s="719">
        <f>'Budget Period 5'!U22*(1+IF(L22="PI",Data_SalaryInflationRatePI,Data_SalaryInflationRate))</f>
        <v>0</v>
      </c>
      <c r="V22" s="720"/>
      <c r="W22" s="720"/>
      <c r="X22" s="721"/>
      <c r="Y22" s="114">
        <v>1</v>
      </c>
      <c r="Z22" s="118"/>
      <c r="AA22" s="321" t="str">
        <f t="shared" si="0"/>
        <v/>
      </c>
      <c r="AB22" s="434"/>
      <c r="AC22" s="436"/>
      <c r="AD22" s="625"/>
      <c r="AE22" s="626"/>
      <c r="AF22" s="626"/>
      <c r="AG22" s="535">
        <f t="shared" si="1"/>
        <v>0</v>
      </c>
      <c r="AH22" s="536"/>
      <c r="AI22" s="530">
        <f>(IF(OR('Budget Period 1'!L22&lt;2,'Budget Period 1'!O22&lt;2),0,IF(OR('Budget Period 1'!O22=4,'Budget Period 1'!O22=5),U22*2080/12*AB22*AD22,(U22/(CHOOSE('Budget Period 1'!O22,0,9,12,0,0))*AB22*AD22))))</f>
        <v>0</v>
      </c>
      <c r="AJ22" s="531"/>
      <c r="AK22" s="531"/>
      <c r="AL22" s="532"/>
      <c r="AM22" s="783">
        <f>IF(OR('Budget Period 1'!L22&lt;2,'Budget Period 1'!O22&lt;2),0,IF('Budget Period 1'!L22=4,FringeRate_Y6_PostDoc,CHOOSE('Budget Period 1'!O22,0,FringeRate_Y6_Faculty,FringeRate_Y6_Faculty,FringeRate_Y6_Classified,FringeRate_Y6_LTE)))</f>
        <v>0</v>
      </c>
      <c r="AN22" s="784"/>
      <c r="AO22" s="785">
        <f t="shared" si="2"/>
        <v>0</v>
      </c>
      <c r="AP22" s="786"/>
      <c r="AQ22" s="530">
        <f t="shared" si="3"/>
        <v>0</v>
      </c>
      <c r="AR22" s="531"/>
      <c r="AS22" s="531"/>
      <c r="AT22" s="612"/>
      <c r="AU22" s="137"/>
      <c r="AV22" s="10"/>
    </row>
    <row r="23" spans="2:48" ht="18" customHeight="1" thickBot="1" x14ac:dyDescent="0.25">
      <c r="B23" s="10"/>
      <c r="C23" s="137"/>
      <c r="D23" s="137"/>
      <c r="E23" s="149" t="s">
        <v>102</v>
      </c>
      <c r="F23" s="722">
        <f>'Budget Period 1'!F23:K23</f>
        <v>0</v>
      </c>
      <c r="G23" s="723"/>
      <c r="H23" s="723"/>
      <c r="I23" s="723"/>
      <c r="J23" s="723"/>
      <c r="K23" s="724"/>
      <c r="L23" s="725" t="str">
        <f>CHOOSE('Budget Period 1'!L23,"",'Drop-Down_Options'!$B$25,'Drop-Down_Options'!$B$26,'Drop-Down_Options'!$B$27,'Drop-Down_Options'!$B$28)</f>
        <v/>
      </c>
      <c r="M23" s="726"/>
      <c r="N23" s="727"/>
      <c r="O23" s="725" t="str">
        <f>CHOOSE('Budget Period 1'!O23,"",'Drop-Down_Options'!$B$35,'Drop-Down_Options'!$B$36,"Classified","LTE")</f>
        <v/>
      </c>
      <c r="P23" s="726"/>
      <c r="Q23" s="726"/>
      <c r="R23" s="726"/>
      <c r="S23" s="726"/>
      <c r="T23" s="727"/>
      <c r="U23" s="719">
        <f>'Budget Period 5'!U23*(1+IF(L23="PI",Data_SalaryInflationRatePI,Data_SalaryInflationRate))</f>
        <v>0</v>
      </c>
      <c r="V23" s="720"/>
      <c r="W23" s="720"/>
      <c r="X23" s="721"/>
      <c r="Y23" s="114">
        <v>1</v>
      </c>
      <c r="Z23" s="118"/>
      <c r="AA23" s="321" t="str">
        <f t="shared" si="0"/>
        <v/>
      </c>
      <c r="AB23" s="434"/>
      <c r="AC23" s="436"/>
      <c r="AD23" s="625"/>
      <c r="AE23" s="626"/>
      <c r="AF23" s="626"/>
      <c r="AG23" s="535">
        <f t="shared" si="1"/>
        <v>0</v>
      </c>
      <c r="AH23" s="536"/>
      <c r="AI23" s="530">
        <f>(IF(OR('Budget Period 1'!L23&lt;2,'Budget Period 1'!O23&lt;2),0,IF(OR('Budget Period 1'!O23=4,'Budget Period 1'!O23=5),U23*2080/12*AB23*AD23,(U23/(CHOOSE('Budget Period 1'!O23,0,9,12,0,0))*AB23*AD23))))</f>
        <v>0</v>
      </c>
      <c r="AJ23" s="531"/>
      <c r="AK23" s="531"/>
      <c r="AL23" s="532"/>
      <c r="AM23" s="783">
        <f>IF(OR('Budget Period 1'!L23&lt;2,'Budget Period 1'!O23&lt;2),0,IF('Budget Period 1'!L23=4,FringeRate_Y6_PostDoc,CHOOSE('Budget Period 1'!O23,0,FringeRate_Y6_Faculty,FringeRate_Y6_Faculty,FringeRate_Y6_Classified,FringeRate_Y6_LTE)))</f>
        <v>0</v>
      </c>
      <c r="AN23" s="784"/>
      <c r="AO23" s="785">
        <f t="shared" si="2"/>
        <v>0</v>
      </c>
      <c r="AP23" s="786"/>
      <c r="AQ23" s="530">
        <f t="shared" si="3"/>
        <v>0</v>
      </c>
      <c r="AR23" s="531"/>
      <c r="AS23" s="531"/>
      <c r="AT23" s="612"/>
      <c r="AU23" s="137"/>
      <c r="AV23" s="10"/>
    </row>
    <row r="24" spans="2:48" ht="18" customHeight="1" thickBot="1" x14ac:dyDescent="0.25">
      <c r="B24" s="10"/>
      <c r="C24" s="137"/>
      <c r="D24" s="137"/>
      <c r="E24" s="149" t="s">
        <v>103</v>
      </c>
      <c r="F24" s="722">
        <f>'Budget Period 1'!F24:K24</f>
        <v>0</v>
      </c>
      <c r="G24" s="723"/>
      <c r="H24" s="723"/>
      <c r="I24" s="723"/>
      <c r="J24" s="723"/>
      <c r="K24" s="724"/>
      <c r="L24" s="725" t="str">
        <f>CHOOSE('Budget Period 1'!L24,"",'Drop-Down_Options'!$B$25,'Drop-Down_Options'!$B$26,'Drop-Down_Options'!$B$27,'Drop-Down_Options'!$B$28)</f>
        <v/>
      </c>
      <c r="M24" s="726"/>
      <c r="N24" s="727"/>
      <c r="O24" s="725" t="str">
        <f>CHOOSE('Budget Period 1'!O24,"",'Drop-Down_Options'!$B$35,'Drop-Down_Options'!$B$36,"Classified","LTE")</f>
        <v/>
      </c>
      <c r="P24" s="726"/>
      <c r="Q24" s="726"/>
      <c r="R24" s="726"/>
      <c r="S24" s="726"/>
      <c r="T24" s="727"/>
      <c r="U24" s="719">
        <f>'Budget Period 5'!U24*(1+IF(L24="PI",Data_SalaryInflationRatePI,Data_SalaryInflationRate))</f>
        <v>0</v>
      </c>
      <c r="V24" s="720"/>
      <c r="W24" s="720"/>
      <c r="X24" s="721"/>
      <c r="Y24" s="114">
        <v>1</v>
      </c>
      <c r="Z24" s="118"/>
      <c r="AA24" s="321" t="str">
        <f t="shared" si="0"/>
        <v/>
      </c>
      <c r="AB24" s="434"/>
      <c r="AC24" s="436"/>
      <c r="AD24" s="625"/>
      <c r="AE24" s="626"/>
      <c r="AF24" s="626"/>
      <c r="AG24" s="535">
        <f t="shared" si="1"/>
        <v>0</v>
      </c>
      <c r="AH24" s="536"/>
      <c r="AI24" s="530">
        <f>(IF(OR('Budget Period 1'!L24&lt;2,'Budget Period 1'!O24&lt;2),0,IF(OR('Budget Period 1'!O24=4,'Budget Period 1'!O24=5),U24*2080/12*AB24*AD24,(U24/(CHOOSE('Budget Period 1'!O24,0,9,12,0,0))*AB24*AD24))))</f>
        <v>0</v>
      </c>
      <c r="AJ24" s="531"/>
      <c r="AK24" s="531"/>
      <c r="AL24" s="532"/>
      <c r="AM24" s="783">
        <f>IF(OR('Budget Period 1'!L24&lt;2,'Budget Period 1'!O24&lt;2),0,IF('Budget Period 1'!L24=4,FringeRate_Y6_PostDoc,CHOOSE('Budget Period 1'!O24,0,FringeRate_Y6_Faculty,FringeRate_Y6_Faculty,FringeRate_Y6_Classified,FringeRate_Y6_LTE)))</f>
        <v>0</v>
      </c>
      <c r="AN24" s="784"/>
      <c r="AO24" s="785">
        <f t="shared" si="2"/>
        <v>0</v>
      </c>
      <c r="AP24" s="786"/>
      <c r="AQ24" s="530">
        <f t="shared" si="3"/>
        <v>0</v>
      </c>
      <c r="AR24" s="531"/>
      <c r="AS24" s="531"/>
      <c r="AT24" s="612"/>
      <c r="AU24" s="137"/>
      <c r="AV24" s="10"/>
    </row>
    <row r="25" spans="2:48" ht="18" customHeight="1" thickBot="1" x14ac:dyDescent="0.25">
      <c r="B25" s="10"/>
      <c r="C25" s="137"/>
      <c r="D25" s="137"/>
      <c r="E25" s="149" t="s">
        <v>104</v>
      </c>
      <c r="F25" s="722">
        <f>'Budget Period 1'!F25:K25</f>
        <v>0</v>
      </c>
      <c r="G25" s="723"/>
      <c r="H25" s="723"/>
      <c r="I25" s="723"/>
      <c r="J25" s="723"/>
      <c r="K25" s="724"/>
      <c r="L25" s="725" t="str">
        <f>CHOOSE('Budget Period 1'!L25,"",'Drop-Down_Options'!$B$25,'Drop-Down_Options'!$B$26,'Drop-Down_Options'!$B$27,'Drop-Down_Options'!$B$28)</f>
        <v/>
      </c>
      <c r="M25" s="726"/>
      <c r="N25" s="727"/>
      <c r="O25" s="725" t="str">
        <f>CHOOSE('Budget Period 1'!O25,"",'Drop-Down_Options'!$B$35,'Drop-Down_Options'!$B$36,"Classified","LTE")</f>
        <v/>
      </c>
      <c r="P25" s="726"/>
      <c r="Q25" s="726"/>
      <c r="R25" s="726"/>
      <c r="S25" s="726"/>
      <c r="T25" s="727"/>
      <c r="U25" s="719">
        <f>'Budget Period 5'!U25*(1+IF(L25="PI",Data_SalaryInflationRatePI,Data_SalaryInflationRate))</f>
        <v>0</v>
      </c>
      <c r="V25" s="720"/>
      <c r="W25" s="720"/>
      <c r="X25" s="721"/>
      <c r="Y25" s="114">
        <v>1</v>
      </c>
      <c r="Z25" s="118"/>
      <c r="AA25" s="321" t="str">
        <f t="shared" si="0"/>
        <v/>
      </c>
      <c r="AB25" s="434"/>
      <c r="AC25" s="436"/>
      <c r="AD25" s="625"/>
      <c r="AE25" s="626"/>
      <c r="AF25" s="626"/>
      <c r="AG25" s="535">
        <f t="shared" si="1"/>
        <v>0</v>
      </c>
      <c r="AH25" s="536"/>
      <c r="AI25" s="530">
        <f>(IF(OR('Budget Period 1'!L25&lt;2,'Budget Period 1'!O25&lt;2),0,IF(OR('Budget Period 1'!O25=4,'Budget Period 1'!O25=5),U25*2080/12*AB25*AD25,(U25/(CHOOSE('Budget Period 1'!O25,0,9,12,0,0))*AB25*AD25))))</f>
        <v>0</v>
      </c>
      <c r="AJ25" s="531"/>
      <c r="AK25" s="531"/>
      <c r="AL25" s="532"/>
      <c r="AM25" s="783">
        <f>IF(OR('Budget Period 1'!L25&lt;2,'Budget Period 1'!O25&lt;2),0,IF('Budget Period 1'!L25=4,FringeRate_Y6_PostDoc,CHOOSE('Budget Period 1'!O25,0,FringeRate_Y6_Faculty,FringeRate_Y6_Faculty,FringeRate_Y6_Classified,FringeRate_Y6_LTE)))</f>
        <v>0</v>
      </c>
      <c r="AN25" s="784"/>
      <c r="AO25" s="785">
        <f t="shared" si="2"/>
        <v>0</v>
      </c>
      <c r="AP25" s="786"/>
      <c r="AQ25" s="530">
        <f t="shared" si="3"/>
        <v>0</v>
      </c>
      <c r="AR25" s="531"/>
      <c r="AS25" s="531"/>
      <c r="AT25" s="612"/>
      <c r="AU25" s="137"/>
      <c r="AV25" s="10"/>
    </row>
    <row r="26" spans="2:48" ht="18" customHeight="1" thickBot="1" x14ac:dyDescent="0.25">
      <c r="B26" s="10"/>
      <c r="C26" s="137"/>
      <c r="D26" s="137"/>
      <c r="E26" s="149" t="s">
        <v>105</v>
      </c>
      <c r="F26" s="722">
        <f>'Budget Period 1'!F26:K26</f>
        <v>0</v>
      </c>
      <c r="G26" s="723"/>
      <c r="H26" s="723"/>
      <c r="I26" s="723"/>
      <c r="J26" s="723"/>
      <c r="K26" s="724"/>
      <c r="L26" s="725" t="str">
        <f>CHOOSE('Budget Period 1'!L26,"",'Drop-Down_Options'!$B$25,'Drop-Down_Options'!$B$26,'Drop-Down_Options'!$B$27,'Drop-Down_Options'!$B$28)</f>
        <v/>
      </c>
      <c r="M26" s="726"/>
      <c r="N26" s="727"/>
      <c r="O26" s="725" t="str">
        <f>CHOOSE('Budget Period 1'!O26,"",'Drop-Down_Options'!$B$35,'Drop-Down_Options'!$B$36,"Classified","LTE")</f>
        <v/>
      </c>
      <c r="P26" s="726"/>
      <c r="Q26" s="726"/>
      <c r="R26" s="726"/>
      <c r="S26" s="726"/>
      <c r="T26" s="727"/>
      <c r="U26" s="719">
        <f>'Budget Period 5'!U26*(1+IF(L26="PI",Data_SalaryInflationRatePI,Data_SalaryInflationRate))</f>
        <v>0</v>
      </c>
      <c r="V26" s="720"/>
      <c r="W26" s="720"/>
      <c r="X26" s="721"/>
      <c r="Y26" s="114">
        <v>1</v>
      </c>
      <c r="Z26" s="118"/>
      <c r="AA26" s="321" t="str">
        <f t="shared" si="0"/>
        <v/>
      </c>
      <c r="AB26" s="434"/>
      <c r="AC26" s="436"/>
      <c r="AD26" s="625"/>
      <c r="AE26" s="626"/>
      <c r="AF26" s="626"/>
      <c r="AG26" s="535">
        <f t="shared" si="1"/>
        <v>0</v>
      </c>
      <c r="AH26" s="536"/>
      <c r="AI26" s="530">
        <f>(IF(OR('Budget Period 1'!L26&lt;2,'Budget Period 1'!O26&lt;2),0,IF(OR('Budget Period 1'!O26=4,'Budget Period 1'!O26=5),U26*2080/12*AB26*AD26,(U26/(CHOOSE('Budget Period 1'!O26,0,9,12,0,0))*AB26*AD26))))</f>
        <v>0</v>
      </c>
      <c r="AJ26" s="531"/>
      <c r="AK26" s="531"/>
      <c r="AL26" s="532"/>
      <c r="AM26" s="783">
        <f>IF(OR('Budget Period 1'!L26&lt;2,'Budget Period 1'!O26&lt;2),0,IF('Budget Period 1'!L26=4,FringeRate_Y6_PostDoc,CHOOSE('Budget Period 1'!O26,0,FringeRate_Y6_Faculty,FringeRate_Y6_Faculty,FringeRate_Y6_Classified,FringeRate_Y6_LTE)))</f>
        <v>0</v>
      </c>
      <c r="AN26" s="784"/>
      <c r="AO26" s="785">
        <f t="shared" si="2"/>
        <v>0</v>
      </c>
      <c r="AP26" s="786"/>
      <c r="AQ26" s="530">
        <f t="shared" si="3"/>
        <v>0</v>
      </c>
      <c r="AR26" s="531"/>
      <c r="AS26" s="531"/>
      <c r="AT26" s="612"/>
      <c r="AU26" s="137"/>
      <c r="AV26" s="10"/>
    </row>
    <row r="27" spans="2:48" ht="18" customHeight="1" thickBot="1" x14ac:dyDescent="0.25">
      <c r="B27" s="10"/>
      <c r="C27" s="137"/>
      <c r="D27" s="137"/>
      <c r="E27" s="149" t="s">
        <v>106</v>
      </c>
      <c r="F27" s="722">
        <f>'Budget Period 1'!F27:K27</f>
        <v>0</v>
      </c>
      <c r="G27" s="723"/>
      <c r="H27" s="723"/>
      <c r="I27" s="723"/>
      <c r="J27" s="723"/>
      <c r="K27" s="724"/>
      <c r="L27" s="725" t="str">
        <f>CHOOSE('Budget Period 1'!L27,"",'Drop-Down_Options'!$B$25,'Drop-Down_Options'!$B$26,'Drop-Down_Options'!$B$27,'Drop-Down_Options'!$B$28)</f>
        <v/>
      </c>
      <c r="M27" s="726"/>
      <c r="N27" s="727"/>
      <c r="O27" s="725" t="str">
        <f>CHOOSE('Budget Period 1'!O27,"",'Drop-Down_Options'!$B$35,'Drop-Down_Options'!$B$36,"Classified","LTE")</f>
        <v/>
      </c>
      <c r="P27" s="726"/>
      <c r="Q27" s="726"/>
      <c r="R27" s="726"/>
      <c r="S27" s="726"/>
      <c r="T27" s="727"/>
      <c r="U27" s="719">
        <f>'Budget Period 5'!U27*(1+IF(L27="PI",Data_SalaryInflationRatePI,Data_SalaryInflationRate))</f>
        <v>0</v>
      </c>
      <c r="V27" s="720"/>
      <c r="W27" s="720"/>
      <c r="X27" s="721"/>
      <c r="Y27" s="114">
        <v>1</v>
      </c>
      <c r="Z27" s="118"/>
      <c r="AA27" s="321" t="str">
        <f t="shared" si="0"/>
        <v/>
      </c>
      <c r="AB27" s="434"/>
      <c r="AC27" s="436"/>
      <c r="AD27" s="625"/>
      <c r="AE27" s="626"/>
      <c r="AF27" s="626"/>
      <c r="AG27" s="535">
        <f t="shared" si="1"/>
        <v>0</v>
      </c>
      <c r="AH27" s="536"/>
      <c r="AI27" s="530">
        <f>(IF(OR('Budget Period 1'!L27&lt;2,'Budget Period 1'!O27&lt;2),0,IF(OR('Budget Period 1'!O27=4,'Budget Period 1'!O27=5),U27*2080/12*AB27*AD27,(U27/(CHOOSE('Budget Period 1'!O27,0,9,12,0,0))*AB27*AD27))))</f>
        <v>0</v>
      </c>
      <c r="AJ27" s="531"/>
      <c r="AK27" s="531"/>
      <c r="AL27" s="532"/>
      <c r="AM27" s="783">
        <f>IF(OR('Budget Period 1'!L27&lt;2,'Budget Period 1'!O27&lt;2),0,IF('Budget Period 1'!L27=4,FringeRate_Y6_PostDoc,CHOOSE('Budget Period 1'!O27,0,FringeRate_Y6_Faculty,FringeRate_Y6_Faculty,FringeRate_Y6_Classified,FringeRate_Y6_LTE)))</f>
        <v>0</v>
      </c>
      <c r="AN27" s="784"/>
      <c r="AO27" s="785">
        <f t="shared" si="2"/>
        <v>0</v>
      </c>
      <c r="AP27" s="786"/>
      <c r="AQ27" s="530">
        <f t="shared" si="3"/>
        <v>0</v>
      </c>
      <c r="AR27" s="531"/>
      <c r="AS27" s="531"/>
      <c r="AT27" s="612"/>
      <c r="AU27" s="137"/>
      <c r="AV27" s="10"/>
    </row>
    <row r="28" spans="2:48" ht="18" customHeight="1" thickBot="1" x14ac:dyDescent="0.25">
      <c r="B28" s="10"/>
      <c r="C28" s="137"/>
      <c r="D28" s="137"/>
      <c r="E28" s="149" t="s">
        <v>107</v>
      </c>
      <c r="F28" s="722">
        <f>'Budget Period 1'!F28:K28</f>
        <v>0</v>
      </c>
      <c r="G28" s="723"/>
      <c r="H28" s="723"/>
      <c r="I28" s="723"/>
      <c r="J28" s="723"/>
      <c r="K28" s="724"/>
      <c r="L28" s="725" t="str">
        <f>CHOOSE('Budget Period 1'!L28,"",'Drop-Down_Options'!$B$25,'Drop-Down_Options'!$B$26,'Drop-Down_Options'!$B$27,'Drop-Down_Options'!$B$28)</f>
        <v/>
      </c>
      <c r="M28" s="726"/>
      <c r="N28" s="727"/>
      <c r="O28" s="725" t="str">
        <f>CHOOSE('Budget Period 1'!O28,"",'Drop-Down_Options'!$B$35,'Drop-Down_Options'!$B$36,"Classified","LTE")</f>
        <v/>
      </c>
      <c r="P28" s="726"/>
      <c r="Q28" s="726"/>
      <c r="R28" s="726"/>
      <c r="S28" s="726"/>
      <c r="T28" s="727"/>
      <c r="U28" s="719">
        <f>'Budget Period 5'!U28*(1+IF(L28="PI",Data_SalaryInflationRatePI,Data_SalaryInflationRate))</f>
        <v>0</v>
      </c>
      <c r="V28" s="720"/>
      <c r="W28" s="720"/>
      <c r="X28" s="721"/>
      <c r="Y28" s="114">
        <v>1</v>
      </c>
      <c r="Z28" s="118"/>
      <c r="AA28" s="321" t="str">
        <f t="shared" si="0"/>
        <v/>
      </c>
      <c r="AB28" s="434"/>
      <c r="AC28" s="436"/>
      <c r="AD28" s="625"/>
      <c r="AE28" s="626"/>
      <c r="AF28" s="626"/>
      <c r="AG28" s="535">
        <f t="shared" si="1"/>
        <v>0</v>
      </c>
      <c r="AH28" s="536"/>
      <c r="AI28" s="530">
        <f>(IF(OR('Budget Period 1'!L28&lt;2,'Budget Period 1'!O28&lt;2),0,IF(OR('Budget Period 1'!O28=4,'Budget Period 1'!O28=5),U28*2080/12*AB28*AD28,(U28/(CHOOSE('Budget Period 1'!O28,0,9,12,0,0))*AB28*AD28))))</f>
        <v>0</v>
      </c>
      <c r="AJ28" s="531"/>
      <c r="AK28" s="531"/>
      <c r="AL28" s="532"/>
      <c r="AM28" s="783">
        <f>IF(OR('Budget Period 1'!L28&lt;2,'Budget Period 1'!O28&lt;2),0,IF('Budget Period 1'!L28=4,FringeRate_Y6_PostDoc,CHOOSE('Budget Period 1'!O28,0,FringeRate_Y6_Faculty,FringeRate_Y6_Faculty,FringeRate_Y6_Classified,FringeRate_Y6_LTE)))</f>
        <v>0</v>
      </c>
      <c r="AN28" s="784"/>
      <c r="AO28" s="785">
        <f t="shared" si="2"/>
        <v>0</v>
      </c>
      <c r="AP28" s="786"/>
      <c r="AQ28" s="530">
        <f t="shared" si="3"/>
        <v>0</v>
      </c>
      <c r="AR28" s="531"/>
      <c r="AS28" s="531"/>
      <c r="AT28" s="612"/>
      <c r="AU28" s="137"/>
      <c r="AV28" s="10"/>
    </row>
    <row r="29" spans="2:48" ht="18" customHeight="1" thickBot="1" x14ac:dyDescent="0.25">
      <c r="B29" s="10"/>
      <c r="C29" s="137"/>
      <c r="D29" s="137"/>
      <c r="E29" s="149" t="s">
        <v>108</v>
      </c>
      <c r="F29" s="722">
        <f>'Budget Period 1'!F29:K29</f>
        <v>0</v>
      </c>
      <c r="G29" s="723"/>
      <c r="H29" s="723"/>
      <c r="I29" s="723"/>
      <c r="J29" s="723"/>
      <c r="K29" s="724"/>
      <c r="L29" s="725" t="str">
        <f>CHOOSE('Budget Period 1'!L29,"",'Drop-Down_Options'!$B$25,'Drop-Down_Options'!$B$26,'Drop-Down_Options'!$B$27,'Drop-Down_Options'!$B$28)</f>
        <v/>
      </c>
      <c r="M29" s="726"/>
      <c r="N29" s="727"/>
      <c r="O29" s="725" t="str">
        <f>CHOOSE('Budget Period 1'!O29,"",'Drop-Down_Options'!$B$35,'Drop-Down_Options'!$B$36,"Classified","LTE")</f>
        <v/>
      </c>
      <c r="P29" s="726"/>
      <c r="Q29" s="726"/>
      <c r="R29" s="726"/>
      <c r="S29" s="726"/>
      <c r="T29" s="727"/>
      <c r="U29" s="719">
        <f>'Budget Period 5'!U29*(1+IF(L29="PI",Data_SalaryInflationRatePI,Data_SalaryInflationRate))</f>
        <v>0</v>
      </c>
      <c r="V29" s="720"/>
      <c r="W29" s="720"/>
      <c r="X29" s="721"/>
      <c r="Y29" s="114">
        <v>1</v>
      </c>
      <c r="Z29" s="118"/>
      <c r="AA29" s="321" t="str">
        <f t="shared" si="0"/>
        <v/>
      </c>
      <c r="AB29" s="434"/>
      <c r="AC29" s="436"/>
      <c r="AD29" s="625"/>
      <c r="AE29" s="626"/>
      <c r="AF29" s="626"/>
      <c r="AG29" s="535">
        <f t="shared" si="1"/>
        <v>0</v>
      </c>
      <c r="AH29" s="536"/>
      <c r="AI29" s="530">
        <f>(IF(OR('Budget Period 1'!L29&lt;2,'Budget Period 1'!O29&lt;2),0,IF(OR('Budget Period 1'!O29=4,'Budget Period 1'!O29=5),U29*2080/12*AB29*AD29,(U29/(CHOOSE('Budget Period 1'!O29,0,9,12,0,0))*AB29*AD29))))</f>
        <v>0</v>
      </c>
      <c r="AJ29" s="531"/>
      <c r="AK29" s="531"/>
      <c r="AL29" s="532"/>
      <c r="AM29" s="783">
        <f>IF(OR('Budget Period 1'!L29&lt;2,'Budget Period 1'!O29&lt;2),0,IF('Budget Period 1'!L29=4,FringeRate_Y6_PostDoc,CHOOSE('Budget Period 1'!O29,0,FringeRate_Y6_Faculty,FringeRate_Y6_Faculty,FringeRate_Y6_Classified,FringeRate_Y6_LTE)))</f>
        <v>0</v>
      </c>
      <c r="AN29" s="784"/>
      <c r="AO29" s="785">
        <f t="shared" si="2"/>
        <v>0</v>
      </c>
      <c r="AP29" s="786"/>
      <c r="AQ29" s="530">
        <f t="shared" si="3"/>
        <v>0</v>
      </c>
      <c r="AR29" s="531"/>
      <c r="AS29" s="531"/>
      <c r="AT29" s="612"/>
      <c r="AU29" s="137"/>
      <c r="AV29" s="10"/>
    </row>
    <row r="30" spans="2:48" ht="18" customHeight="1" thickBot="1" x14ac:dyDescent="0.25">
      <c r="B30" s="10"/>
      <c r="C30" s="137"/>
      <c r="D30" s="137"/>
      <c r="E30" s="149" t="s">
        <v>109</v>
      </c>
      <c r="F30" s="728">
        <f>'Budget Period 1'!F30:K30</f>
        <v>0</v>
      </c>
      <c r="G30" s="729"/>
      <c r="H30" s="729"/>
      <c r="I30" s="729"/>
      <c r="J30" s="729"/>
      <c r="K30" s="730"/>
      <c r="L30" s="731" t="str">
        <f>CHOOSE('Budget Period 1'!L30,"",'Drop-Down_Options'!$B$25,'Drop-Down_Options'!$B$26,'Drop-Down_Options'!$B$27,'Drop-Down_Options'!$B$28)</f>
        <v/>
      </c>
      <c r="M30" s="732"/>
      <c r="N30" s="733"/>
      <c r="O30" s="731" t="str">
        <f>CHOOSE('Budget Period 1'!O30,"",'Drop-Down_Options'!$B$35,'Drop-Down_Options'!$B$36,"Classified","LTE")</f>
        <v/>
      </c>
      <c r="P30" s="732"/>
      <c r="Q30" s="732"/>
      <c r="R30" s="732"/>
      <c r="S30" s="732"/>
      <c r="T30" s="733"/>
      <c r="U30" s="734">
        <f>'Budget Period 5'!U30*(1+IF(L30="PI",Data_SalaryInflationRatePI,Data_SalaryInflationRate))</f>
        <v>0</v>
      </c>
      <c r="V30" s="735"/>
      <c r="W30" s="735"/>
      <c r="X30" s="736"/>
      <c r="Y30" s="115">
        <v>1</v>
      </c>
      <c r="Z30" s="120"/>
      <c r="AA30" s="321" t="str">
        <f t="shared" si="0"/>
        <v/>
      </c>
      <c r="AB30" s="598"/>
      <c r="AC30" s="599"/>
      <c r="AD30" s="647"/>
      <c r="AE30" s="648"/>
      <c r="AF30" s="648"/>
      <c r="AG30" s="600">
        <f t="shared" si="1"/>
        <v>0</v>
      </c>
      <c r="AH30" s="601"/>
      <c r="AI30" s="649">
        <f>(IF(OR('Budget Period 1'!L30&lt;2,'Budget Period 1'!O30&lt;2),0,IF(OR('Budget Period 1'!O30=4,'Budget Period 1'!O30=5),U30*2080/12*AB30*AD30,(U30/(CHOOSE('Budget Period 1'!O30,0,9,12,0,0))*AB30*AD30))))</f>
        <v>0</v>
      </c>
      <c r="AJ30" s="650"/>
      <c r="AK30" s="650"/>
      <c r="AL30" s="651"/>
      <c r="AM30" s="819">
        <f>IF(OR('Budget Period 1'!L30&lt;2,'Budget Period 1'!O30&lt;2),0,IF('Budget Period 1'!L30=4,FringeRate_Y6_PostDoc,CHOOSE('Budget Period 1'!O30,0,FringeRate_Y6_Faculty,FringeRate_Y6_Faculty,FringeRate_Y6_Classified,FringeRate_Y6_LTE)))</f>
        <v>0</v>
      </c>
      <c r="AN30" s="820"/>
      <c r="AO30" s="808">
        <f t="shared" si="2"/>
        <v>0</v>
      </c>
      <c r="AP30" s="809"/>
      <c r="AQ30" s="649">
        <f t="shared" si="3"/>
        <v>0</v>
      </c>
      <c r="AR30" s="650"/>
      <c r="AS30" s="650"/>
      <c r="AT30" s="672"/>
      <c r="AU30" s="137"/>
      <c r="AV30" s="10"/>
    </row>
    <row r="31" spans="2:48" ht="13.5" thickBot="1" x14ac:dyDescent="0.25">
      <c r="B31" s="10"/>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0"/>
    </row>
    <row r="32" spans="2:48" ht="13.5" thickBot="1" x14ac:dyDescent="0.25">
      <c r="B32" s="10"/>
      <c r="C32" s="150"/>
      <c r="D32" s="151"/>
      <c r="E32" s="151" t="s">
        <v>110</v>
      </c>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810">
        <f>SUM(AI11:AL30)</f>
        <v>0</v>
      </c>
      <c r="AJ32" s="811"/>
      <c r="AK32" s="811"/>
      <c r="AL32" s="812"/>
      <c r="AM32" s="154"/>
      <c r="AN32" s="154"/>
      <c r="AO32" s="810">
        <f>SUM(AO11:AP30)</f>
        <v>0</v>
      </c>
      <c r="AP32" s="811"/>
      <c r="AQ32" s="810">
        <f>SUM(AQ11:AT30)</f>
        <v>0</v>
      </c>
      <c r="AR32" s="811"/>
      <c r="AS32" s="811"/>
      <c r="AT32" s="812"/>
      <c r="AU32" s="153"/>
      <c r="AV32" s="10"/>
    </row>
    <row r="33" spans="2:48" x14ac:dyDescent="0.2">
      <c r="B33" s="10"/>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0"/>
    </row>
    <row r="34" spans="2:48" ht="13.5" thickBot="1" x14ac:dyDescent="0.25">
      <c r="B34" s="10"/>
      <c r="C34" s="137"/>
      <c r="D34" s="142" t="s">
        <v>134</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0"/>
    </row>
    <row r="35" spans="2:48" ht="28.5" customHeight="1" thickBot="1" x14ac:dyDescent="0.25">
      <c r="B35" s="10"/>
      <c r="C35" s="137"/>
      <c r="D35" s="137"/>
      <c r="E35" s="137"/>
      <c r="F35" s="682" t="s">
        <v>433</v>
      </c>
      <c r="G35" s="518"/>
      <c r="H35" s="518"/>
      <c r="I35" s="518"/>
      <c r="J35" s="518"/>
      <c r="K35" s="518"/>
      <c r="L35" s="518"/>
      <c r="M35" s="518"/>
      <c r="N35" s="518"/>
      <c r="O35" s="518"/>
      <c r="P35" s="518"/>
      <c r="Q35" s="518"/>
      <c r="R35" s="518" t="s">
        <v>119</v>
      </c>
      <c r="S35" s="518"/>
      <c r="T35" s="518" t="s">
        <v>122</v>
      </c>
      <c r="U35" s="518"/>
      <c r="V35" s="518"/>
      <c r="W35" s="518"/>
      <c r="X35" s="518"/>
      <c r="Y35" s="518" t="s">
        <v>121</v>
      </c>
      <c r="Z35" s="518"/>
      <c r="AA35" s="518"/>
      <c r="AB35" s="518" t="s">
        <v>505</v>
      </c>
      <c r="AC35" s="518"/>
      <c r="AD35" s="519"/>
      <c r="AE35" s="137"/>
      <c r="AF35" s="682" t="s">
        <v>118</v>
      </c>
      <c r="AG35" s="518"/>
      <c r="AH35" s="518"/>
      <c r="AI35" s="517" t="s">
        <v>123</v>
      </c>
      <c r="AJ35" s="518"/>
      <c r="AK35" s="518"/>
      <c r="AL35" s="518"/>
      <c r="AM35" s="517" t="s">
        <v>124</v>
      </c>
      <c r="AN35" s="518"/>
      <c r="AO35" s="517" t="s">
        <v>125</v>
      </c>
      <c r="AP35" s="518"/>
      <c r="AQ35" s="517" t="s">
        <v>126</v>
      </c>
      <c r="AR35" s="518"/>
      <c r="AS35" s="518"/>
      <c r="AT35" s="519"/>
      <c r="AU35" s="137"/>
      <c r="AV35" s="10"/>
    </row>
    <row r="36" spans="2:48" ht="20.100000000000001" customHeight="1" x14ac:dyDescent="0.2">
      <c r="B36" s="10"/>
      <c r="C36" s="137"/>
      <c r="D36" s="137"/>
      <c r="E36" s="342" t="s">
        <v>91</v>
      </c>
      <c r="F36" s="850"/>
      <c r="G36" s="851"/>
      <c r="H36" s="851"/>
      <c r="I36" s="851"/>
      <c r="J36" s="851"/>
      <c r="K36" s="851"/>
      <c r="L36" s="851"/>
      <c r="M36" s="851"/>
      <c r="N36" s="851"/>
      <c r="O36" s="851"/>
      <c r="P36" s="851"/>
      <c r="Q36" s="851"/>
      <c r="R36" s="851"/>
      <c r="S36" s="851"/>
      <c r="T36" s="851"/>
      <c r="U36" s="851"/>
      <c r="V36" s="851"/>
      <c r="W36" s="851"/>
      <c r="X36" s="851"/>
      <c r="Y36" s="851"/>
      <c r="Z36" s="851"/>
      <c r="AA36" s="852"/>
      <c r="AB36" s="765"/>
      <c r="AC36" s="766"/>
      <c r="AD36" s="767"/>
      <c r="AE36" s="137"/>
      <c r="AF36" s="866">
        <f>IF(OR(AB36="",Calc!F80=1),0,(AB36*TuitionRemission_GradAssistants_Y6)/IF(Calc!F80&lt;=5,1,2))</f>
        <v>0</v>
      </c>
      <c r="AG36" s="867"/>
      <c r="AH36" s="867"/>
      <c r="AI36" s="854">
        <f>IF(OR(Calc!D80=1,Calc!E80=1,Calc!F80=1),0,Calc!M80*AB36)</f>
        <v>0</v>
      </c>
      <c r="AJ36" s="854"/>
      <c r="AK36" s="854"/>
      <c r="AL36" s="854"/>
      <c r="AM36" s="868">
        <f>IF(AB36&gt;0,FringeRate_Y6_GradStudent,0)</f>
        <v>0</v>
      </c>
      <c r="AN36" s="868"/>
      <c r="AO36" s="854">
        <f>AM36*AI36</f>
        <v>0</v>
      </c>
      <c r="AP36" s="854"/>
      <c r="AQ36" s="854">
        <f>R36*T36+AC36+AF36+AI36+AO36</f>
        <v>0</v>
      </c>
      <c r="AR36" s="854"/>
      <c r="AS36" s="854"/>
      <c r="AT36" s="855"/>
      <c r="AU36" s="137"/>
      <c r="AV36" s="10"/>
    </row>
    <row r="37" spans="2:48" ht="20.100000000000001" customHeight="1" x14ac:dyDescent="0.2">
      <c r="B37" s="10"/>
      <c r="C37" s="137"/>
      <c r="D37" s="137"/>
      <c r="E37" s="342" t="s">
        <v>92</v>
      </c>
      <c r="F37" s="752"/>
      <c r="G37" s="753"/>
      <c r="H37" s="753"/>
      <c r="I37" s="753"/>
      <c r="J37" s="753"/>
      <c r="K37" s="753"/>
      <c r="L37" s="753"/>
      <c r="M37" s="753"/>
      <c r="N37" s="753"/>
      <c r="O37" s="753"/>
      <c r="P37" s="753"/>
      <c r="Q37" s="753"/>
      <c r="R37" s="753"/>
      <c r="S37" s="753"/>
      <c r="T37" s="753"/>
      <c r="U37" s="753"/>
      <c r="V37" s="753"/>
      <c r="W37" s="753"/>
      <c r="X37" s="753"/>
      <c r="Y37" s="753"/>
      <c r="Z37" s="753"/>
      <c r="AA37" s="853"/>
      <c r="AB37" s="655"/>
      <c r="AC37" s="656"/>
      <c r="AD37" s="657"/>
      <c r="AE37" s="137"/>
      <c r="AF37" s="861">
        <f>IF(OR(AB37="",Calc!F81=1),0,(AB37*TuitionRemission_GradAssistants_Y6)/IF(Calc!F81&lt;=5,1,2))</f>
        <v>0</v>
      </c>
      <c r="AG37" s="862"/>
      <c r="AH37" s="862"/>
      <c r="AI37" s="856">
        <f>IF(OR(Calc!D81=1,Calc!E81=1,Calc!F81=1),0,Calc!M81*AB37)</f>
        <v>0</v>
      </c>
      <c r="AJ37" s="856"/>
      <c r="AK37" s="856"/>
      <c r="AL37" s="856"/>
      <c r="AM37" s="865">
        <f>IF(AB37&gt;0,FringeRate_Y6_GradStudent,0)</f>
        <v>0</v>
      </c>
      <c r="AN37" s="865"/>
      <c r="AO37" s="856">
        <f t="shared" ref="AO37:AO40" si="4">AM37*AI37</f>
        <v>0</v>
      </c>
      <c r="AP37" s="856"/>
      <c r="AQ37" s="856">
        <f t="shared" ref="AQ37:AQ40" si="5">R37*T37+AC37+AF37+AI37+AO37</f>
        <v>0</v>
      </c>
      <c r="AR37" s="856"/>
      <c r="AS37" s="856"/>
      <c r="AT37" s="857"/>
      <c r="AU37" s="137"/>
      <c r="AV37" s="10"/>
    </row>
    <row r="38" spans="2:48" ht="20.100000000000001" customHeight="1" x14ac:dyDescent="0.2">
      <c r="B38" s="10"/>
      <c r="C38" s="137"/>
      <c r="D38" s="137"/>
      <c r="E38" s="342" t="s">
        <v>93</v>
      </c>
      <c r="F38" s="752"/>
      <c r="G38" s="753"/>
      <c r="H38" s="753"/>
      <c r="I38" s="753"/>
      <c r="J38" s="753"/>
      <c r="K38" s="753"/>
      <c r="L38" s="753"/>
      <c r="M38" s="753"/>
      <c r="N38" s="753"/>
      <c r="O38" s="753"/>
      <c r="P38" s="753"/>
      <c r="Q38" s="753"/>
      <c r="R38" s="753"/>
      <c r="S38" s="753"/>
      <c r="T38" s="753"/>
      <c r="U38" s="753"/>
      <c r="V38" s="753"/>
      <c r="W38" s="753"/>
      <c r="X38" s="753"/>
      <c r="Y38" s="753"/>
      <c r="Z38" s="753"/>
      <c r="AA38" s="853"/>
      <c r="AB38" s="655"/>
      <c r="AC38" s="656"/>
      <c r="AD38" s="657"/>
      <c r="AE38" s="137"/>
      <c r="AF38" s="861">
        <f>IF(OR(AB38="",Calc!F82=1),0,(AB38*TuitionRemission_GradAssistants_Y6)/IF(Calc!F82&lt;=5,1,2))</f>
        <v>0</v>
      </c>
      <c r="AG38" s="862"/>
      <c r="AH38" s="862"/>
      <c r="AI38" s="856">
        <f>IF(OR(Calc!D82=1,Calc!E82=1,Calc!F82=1),0,Calc!M82*AB38)</f>
        <v>0</v>
      </c>
      <c r="AJ38" s="856"/>
      <c r="AK38" s="856"/>
      <c r="AL38" s="856"/>
      <c r="AM38" s="865">
        <f>IF(AB38&gt;0,FringeRate_Y6_GradStudent,0)</f>
        <v>0</v>
      </c>
      <c r="AN38" s="865"/>
      <c r="AO38" s="856">
        <f t="shared" si="4"/>
        <v>0</v>
      </c>
      <c r="AP38" s="856"/>
      <c r="AQ38" s="856">
        <f t="shared" si="5"/>
        <v>0</v>
      </c>
      <c r="AR38" s="856"/>
      <c r="AS38" s="856"/>
      <c r="AT38" s="857"/>
      <c r="AU38" s="137"/>
      <c r="AV38" s="10"/>
    </row>
    <row r="39" spans="2:48" ht="20.100000000000001" customHeight="1" x14ac:dyDescent="0.2">
      <c r="B39" s="10"/>
      <c r="C39" s="137"/>
      <c r="D39" s="137"/>
      <c r="E39" s="342" t="s">
        <v>94</v>
      </c>
      <c r="F39" s="752"/>
      <c r="G39" s="753"/>
      <c r="H39" s="753"/>
      <c r="I39" s="753"/>
      <c r="J39" s="753"/>
      <c r="K39" s="753"/>
      <c r="L39" s="753"/>
      <c r="M39" s="753"/>
      <c r="N39" s="753"/>
      <c r="O39" s="753"/>
      <c r="P39" s="753"/>
      <c r="Q39" s="753"/>
      <c r="R39" s="753"/>
      <c r="S39" s="753"/>
      <c r="T39" s="753"/>
      <c r="U39" s="753"/>
      <c r="V39" s="753"/>
      <c r="W39" s="753"/>
      <c r="X39" s="753"/>
      <c r="Y39" s="753"/>
      <c r="Z39" s="753"/>
      <c r="AA39" s="853"/>
      <c r="AB39" s="655"/>
      <c r="AC39" s="656"/>
      <c r="AD39" s="657"/>
      <c r="AE39" s="137"/>
      <c r="AF39" s="861">
        <f>IF(OR(AB39="",Calc!F83=1),0,(AB39*TuitionRemission_GradAssistants_Y6)/IF(Calc!F83&lt;=5,1,2))</f>
        <v>0</v>
      </c>
      <c r="AG39" s="862"/>
      <c r="AH39" s="862"/>
      <c r="AI39" s="856">
        <f>IF(OR(Calc!D83=1,Calc!E83=1,Calc!F83=1),0,Calc!M83*AB39)</f>
        <v>0</v>
      </c>
      <c r="AJ39" s="856"/>
      <c r="AK39" s="856"/>
      <c r="AL39" s="856"/>
      <c r="AM39" s="865">
        <f>IF(AB39&gt;0,FringeRate_Y6_GradStudent,0)</f>
        <v>0</v>
      </c>
      <c r="AN39" s="865"/>
      <c r="AO39" s="856">
        <f t="shared" si="4"/>
        <v>0</v>
      </c>
      <c r="AP39" s="856"/>
      <c r="AQ39" s="856">
        <f t="shared" si="5"/>
        <v>0</v>
      </c>
      <c r="AR39" s="856"/>
      <c r="AS39" s="856"/>
      <c r="AT39" s="857"/>
      <c r="AU39" s="137"/>
      <c r="AV39" s="10"/>
    </row>
    <row r="40" spans="2:48" ht="20.100000000000001" customHeight="1" thickBot="1" x14ac:dyDescent="0.25">
      <c r="B40" s="10"/>
      <c r="C40" s="137"/>
      <c r="D40" s="137"/>
      <c r="E40" s="342" t="s">
        <v>95</v>
      </c>
      <c r="F40" s="754"/>
      <c r="G40" s="755"/>
      <c r="H40" s="755"/>
      <c r="I40" s="755"/>
      <c r="J40" s="755"/>
      <c r="K40" s="755"/>
      <c r="L40" s="755"/>
      <c r="M40" s="755"/>
      <c r="N40" s="755"/>
      <c r="O40" s="755"/>
      <c r="P40" s="755"/>
      <c r="Q40" s="755"/>
      <c r="R40" s="755"/>
      <c r="S40" s="755"/>
      <c r="T40" s="755"/>
      <c r="U40" s="755"/>
      <c r="V40" s="755"/>
      <c r="W40" s="755"/>
      <c r="X40" s="755"/>
      <c r="Y40" s="755"/>
      <c r="Z40" s="755"/>
      <c r="AA40" s="849"/>
      <c r="AB40" s="768"/>
      <c r="AC40" s="769"/>
      <c r="AD40" s="770"/>
      <c r="AE40" s="137"/>
      <c r="AF40" s="863">
        <f>IF(OR(AB40="",Calc!F84=1),0,(AB40*TuitionRemission_GradAssistants_Y6)/IF(Calc!F84&lt;=5,1,2))</f>
        <v>0</v>
      </c>
      <c r="AG40" s="864"/>
      <c r="AH40" s="864"/>
      <c r="AI40" s="858">
        <f>IF(OR(Calc!D84=1,Calc!E84=1,Calc!F84=1),0,Calc!M84*AB40)</f>
        <v>0</v>
      </c>
      <c r="AJ40" s="858"/>
      <c r="AK40" s="858"/>
      <c r="AL40" s="858"/>
      <c r="AM40" s="860">
        <f>IF(AB40&gt;0,FringeRate_Y6_GradStudent,0)</f>
        <v>0</v>
      </c>
      <c r="AN40" s="860"/>
      <c r="AO40" s="858">
        <f t="shared" si="4"/>
        <v>0</v>
      </c>
      <c r="AP40" s="858"/>
      <c r="AQ40" s="858">
        <f t="shared" si="5"/>
        <v>0</v>
      </c>
      <c r="AR40" s="858"/>
      <c r="AS40" s="858"/>
      <c r="AT40" s="859"/>
      <c r="AU40" s="137"/>
      <c r="AV40" s="10"/>
    </row>
    <row r="41" spans="2:48" ht="13.5" thickBot="1" x14ac:dyDescent="0.25">
      <c r="B41" s="10"/>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0"/>
    </row>
    <row r="42" spans="2:48" ht="13.5" thickBot="1" x14ac:dyDescent="0.25">
      <c r="B42" s="10"/>
      <c r="C42" s="150"/>
      <c r="D42" s="151"/>
      <c r="E42" s="151" t="s">
        <v>133</v>
      </c>
      <c r="F42" s="151"/>
      <c r="G42" s="151"/>
      <c r="H42" s="151"/>
      <c r="I42" s="151"/>
      <c r="J42" s="151"/>
      <c r="K42" s="151"/>
      <c r="L42" s="151"/>
      <c r="M42" s="151"/>
      <c r="N42" s="151"/>
      <c r="O42" s="151"/>
      <c r="P42" s="151"/>
      <c r="Q42" s="151"/>
      <c r="R42" s="151"/>
      <c r="S42" s="341"/>
      <c r="T42" s="341"/>
      <c r="U42" s="341"/>
      <c r="V42" s="341"/>
      <c r="W42" s="341"/>
      <c r="X42" s="341"/>
      <c r="Y42" s="341"/>
      <c r="Z42" s="341"/>
      <c r="AA42" s="341"/>
      <c r="AB42" s="341"/>
      <c r="AC42" s="341"/>
      <c r="AD42" s="151"/>
      <c r="AE42" s="302"/>
      <c r="AF42" s="595">
        <f>SUM(AF36:AH40)</f>
        <v>0</v>
      </c>
      <c r="AG42" s="595"/>
      <c r="AH42" s="595"/>
      <c r="AI42" s="528">
        <f>SUM(AI36:AL40)</f>
        <v>0</v>
      </c>
      <c r="AJ42" s="528"/>
      <c r="AK42" s="528"/>
      <c r="AL42" s="528"/>
      <c r="AM42" s="529"/>
      <c r="AN42" s="529"/>
      <c r="AO42" s="592">
        <f>SUM(AO36:AP40)</f>
        <v>0</v>
      </c>
      <c r="AP42" s="593"/>
      <c r="AQ42" s="592">
        <f>SUM(AQ36:AT40)</f>
        <v>0</v>
      </c>
      <c r="AR42" s="594"/>
      <c r="AS42" s="594"/>
      <c r="AT42" s="593"/>
      <c r="AU42" s="153"/>
      <c r="AV42" s="10"/>
    </row>
    <row r="43" spans="2:48" x14ac:dyDescent="0.2">
      <c r="B43" s="10"/>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0"/>
    </row>
    <row r="44" spans="2:48" ht="13.5" thickBot="1" x14ac:dyDescent="0.25">
      <c r="B44" s="10"/>
      <c r="C44" s="137"/>
      <c r="D44" s="142" t="s">
        <v>136</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0"/>
    </row>
    <row r="45" spans="2:48" ht="28.5" customHeight="1" thickBot="1" x14ac:dyDescent="0.25">
      <c r="B45" s="10"/>
      <c r="C45" s="137"/>
      <c r="D45" s="137"/>
      <c r="E45" s="137"/>
      <c r="F45" s="510" t="s">
        <v>129</v>
      </c>
      <c r="G45" s="517"/>
      <c r="H45" s="517"/>
      <c r="I45" s="517"/>
      <c r="J45" s="517"/>
      <c r="K45" s="517"/>
      <c r="L45" s="517"/>
      <c r="M45" s="517"/>
      <c r="N45" s="517"/>
      <c r="O45" s="517"/>
      <c r="P45" s="517"/>
      <c r="Q45" s="517"/>
      <c r="R45" s="578" t="s">
        <v>130</v>
      </c>
      <c r="S45" s="579"/>
      <c r="T45" s="580"/>
      <c r="U45" s="578" t="s">
        <v>131</v>
      </c>
      <c r="V45" s="579"/>
      <c r="W45" s="590"/>
      <c r="X45" s="137"/>
      <c r="Y45" s="137"/>
      <c r="Z45" s="137"/>
      <c r="AA45" s="137"/>
      <c r="AB45" s="137"/>
      <c r="AC45" s="137"/>
      <c r="AD45" s="137"/>
      <c r="AE45" s="137"/>
      <c r="AF45" s="137"/>
      <c r="AG45" s="509" t="s">
        <v>31</v>
      </c>
      <c r="AH45" s="510"/>
      <c r="AI45" s="580" t="s">
        <v>123</v>
      </c>
      <c r="AJ45" s="518"/>
      <c r="AK45" s="518"/>
      <c r="AL45" s="518"/>
      <c r="AM45" s="517" t="s">
        <v>124</v>
      </c>
      <c r="AN45" s="518"/>
      <c r="AO45" s="517" t="s">
        <v>125</v>
      </c>
      <c r="AP45" s="518"/>
      <c r="AQ45" s="517" t="s">
        <v>126</v>
      </c>
      <c r="AR45" s="518"/>
      <c r="AS45" s="518"/>
      <c r="AT45" s="519"/>
      <c r="AU45" s="137"/>
      <c r="AV45" s="10"/>
    </row>
    <row r="46" spans="2:48" x14ac:dyDescent="0.2">
      <c r="B46" s="10"/>
      <c r="C46" s="137"/>
      <c r="D46" s="137"/>
      <c r="E46" s="152" t="s">
        <v>91</v>
      </c>
      <c r="F46" s="585"/>
      <c r="G46" s="550"/>
      <c r="H46" s="550"/>
      <c r="I46" s="550"/>
      <c r="J46" s="550"/>
      <c r="K46" s="550"/>
      <c r="L46" s="550"/>
      <c r="M46" s="550"/>
      <c r="N46" s="550"/>
      <c r="O46" s="550"/>
      <c r="P46" s="550"/>
      <c r="Q46" s="550"/>
      <c r="R46" s="586"/>
      <c r="S46" s="586"/>
      <c r="T46" s="586"/>
      <c r="U46" s="479"/>
      <c r="V46" s="479"/>
      <c r="W46" s="480"/>
      <c r="X46" s="137"/>
      <c r="Y46" s="137"/>
      <c r="Z46" s="137"/>
      <c r="AA46" s="137"/>
      <c r="AB46" s="137"/>
      <c r="AC46" s="137"/>
      <c r="AD46" s="137"/>
      <c r="AE46" s="137"/>
      <c r="AF46" s="137"/>
      <c r="AG46" s="779">
        <f>U46/Var_PersonHoursPerMonth</f>
        <v>0</v>
      </c>
      <c r="AH46" s="780"/>
      <c r="AI46" s="520">
        <f>R46*U46</f>
        <v>0</v>
      </c>
      <c r="AJ46" s="521"/>
      <c r="AK46" s="521"/>
      <c r="AL46" s="521"/>
      <c r="AM46" s="828">
        <f>FringeRate_Y6_Student</f>
        <v>2.4E-2</v>
      </c>
      <c r="AN46" s="828"/>
      <c r="AO46" s="521">
        <f>AI46*AM46</f>
        <v>0</v>
      </c>
      <c r="AP46" s="521"/>
      <c r="AQ46" s="521">
        <f>AI46+AO46</f>
        <v>0</v>
      </c>
      <c r="AR46" s="521"/>
      <c r="AS46" s="521"/>
      <c r="AT46" s="524"/>
      <c r="AU46" s="137"/>
      <c r="AV46" s="10"/>
    </row>
    <row r="47" spans="2:48" x14ac:dyDescent="0.2">
      <c r="B47" s="10"/>
      <c r="C47" s="137"/>
      <c r="D47" s="137"/>
      <c r="E47" s="152" t="s">
        <v>92</v>
      </c>
      <c r="F47" s="475"/>
      <c r="G47" s="461"/>
      <c r="H47" s="461"/>
      <c r="I47" s="461"/>
      <c r="J47" s="461"/>
      <c r="K47" s="461"/>
      <c r="L47" s="461"/>
      <c r="M47" s="461"/>
      <c r="N47" s="461"/>
      <c r="O47" s="461"/>
      <c r="P47" s="461"/>
      <c r="Q47" s="461"/>
      <c r="R47" s="476"/>
      <c r="S47" s="476"/>
      <c r="T47" s="476"/>
      <c r="U47" s="477"/>
      <c r="V47" s="477"/>
      <c r="W47" s="478"/>
      <c r="X47" s="137"/>
      <c r="Y47" s="137"/>
      <c r="Z47" s="137"/>
      <c r="AA47" s="137"/>
      <c r="AB47" s="137"/>
      <c r="AC47" s="137"/>
      <c r="AD47" s="137"/>
      <c r="AE47" s="137"/>
      <c r="AF47" s="137"/>
      <c r="AG47" s="781">
        <f>U47/Var_PersonHoursPerMonth</f>
        <v>0</v>
      </c>
      <c r="AH47" s="782"/>
      <c r="AI47" s="522">
        <f>R47*U47</f>
        <v>0</v>
      </c>
      <c r="AJ47" s="515"/>
      <c r="AK47" s="515"/>
      <c r="AL47" s="515"/>
      <c r="AM47" s="826">
        <f>FringeRate_Y6_Student</f>
        <v>2.4E-2</v>
      </c>
      <c r="AN47" s="826"/>
      <c r="AO47" s="515">
        <f>AI47*AM47</f>
        <v>0</v>
      </c>
      <c r="AP47" s="515"/>
      <c r="AQ47" s="515">
        <f>AI47+AO47</f>
        <v>0</v>
      </c>
      <c r="AR47" s="515"/>
      <c r="AS47" s="515"/>
      <c r="AT47" s="516"/>
      <c r="AU47" s="137"/>
      <c r="AV47" s="10"/>
    </row>
    <row r="48" spans="2:48" x14ac:dyDescent="0.2">
      <c r="B48" s="10"/>
      <c r="C48" s="137"/>
      <c r="D48" s="137"/>
      <c r="E48" s="152" t="s">
        <v>93</v>
      </c>
      <c r="F48" s="475"/>
      <c r="G48" s="461"/>
      <c r="H48" s="461"/>
      <c r="I48" s="461"/>
      <c r="J48" s="461"/>
      <c r="K48" s="461"/>
      <c r="L48" s="461"/>
      <c r="M48" s="461"/>
      <c r="N48" s="461"/>
      <c r="O48" s="461"/>
      <c r="P48" s="461"/>
      <c r="Q48" s="461"/>
      <c r="R48" s="476"/>
      <c r="S48" s="476"/>
      <c r="T48" s="476"/>
      <c r="U48" s="477"/>
      <c r="V48" s="477"/>
      <c r="W48" s="478"/>
      <c r="X48" s="137"/>
      <c r="Y48" s="137"/>
      <c r="Z48" s="137"/>
      <c r="AA48" s="137"/>
      <c r="AB48" s="137"/>
      <c r="AC48" s="137"/>
      <c r="AD48" s="137"/>
      <c r="AE48" s="137"/>
      <c r="AF48" s="137"/>
      <c r="AG48" s="781">
        <f>U48/Var_PersonHoursPerMonth</f>
        <v>0</v>
      </c>
      <c r="AH48" s="782"/>
      <c r="AI48" s="522">
        <f>R48*U48</f>
        <v>0</v>
      </c>
      <c r="AJ48" s="515"/>
      <c r="AK48" s="515"/>
      <c r="AL48" s="515"/>
      <c r="AM48" s="826">
        <f>FringeRate_Y6_Student</f>
        <v>2.4E-2</v>
      </c>
      <c r="AN48" s="826"/>
      <c r="AO48" s="515">
        <f>AI48*AM48</f>
        <v>0</v>
      </c>
      <c r="AP48" s="515"/>
      <c r="AQ48" s="515">
        <f>AI48+AO48</f>
        <v>0</v>
      </c>
      <c r="AR48" s="515"/>
      <c r="AS48" s="515"/>
      <c r="AT48" s="516"/>
      <c r="AU48" s="137"/>
      <c r="AV48" s="10"/>
    </row>
    <row r="49" spans="2:48" x14ac:dyDescent="0.2">
      <c r="B49" s="10"/>
      <c r="C49" s="137"/>
      <c r="D49" s="137"/>
      <c r="E49" s="152" t="s">
        <v>94</v>
      </c>
      <c r="F49" s="475"/>
      <c r="G49" s="461"/>
      <c r="H49" s="461"/>
      <c r="I49" s="461"/>
      <c r="J49" s="461"/>
      <c r="K49" s="461"/>
      <c r="L49" s="461"/>
      <c r="M49" s="461"/>
      <c r="N49" s="461"/>
      <c r="O49" s="461"/>
      <c r="P49" s="461"/>
      <c r="Q49" s="461"/>
      <c r="R49" s="476"/>
      <c r="S49" s="476"/>
      <c r="T49" s="476"/>
      <c r="U49" s="477"/>
      <c r="V49" s="477"/>
      <c r="W49" s="478"/>
      <c r="X49" s="137"/>
      <c r="Y49" s="137"/>
      <c r="Z49" s="137"/>
      <c r="AA49" s="137"/>
      <c r="AB49" s="137"/>
      <c r="AC49" s="137"/>
      <c r="AD49" s="137"/>
      <c r="AE49" s="137"/>
      <c r="AF49" s="137"/>
      <c r="AG49" s="781">
        <f>U49/Var_PersonHoursPerMonth</f>
        <v>0</v>
      </c>
      <c r="AH49" s="782"/>
      <c r="AI49" s="522">
        <f>R49*U49</f>
        <v>0</v>
      </c>
      <c r="AJ49" s="515"/>
      <c r="AK49" s="515"/>
      <c r="AL49" s="515"/>
      <c r="AM49" s="826">
        <f>FringeRate_Y6_Student</f>
        <v>2.4E-2</v>
      </c>
      <c r="AN49" s="826"/>
      <c r="AO49" s="515">
        <f>AI49*AM49</f>
        <v>0</v>
      </c>
      <c r="AP49" s="515"/>
      <c r="AQ49" s="515">
        <f>AI49+AO49</f>
        <v>0</v>
      </c>
      <c r="AR49" s="515"/>
      <c r="AS49" s="515"/>
      <c r="AT49" s="516"/>
      <c r="AU49" s="137"/>
      <c r="AV49" s="10"/>
    </row>
    <row r="50" spans="2:48" ht="13.5" thickBot="1" x14ac:dyDescent="0.25">
      <c r="B50" s="10"/>
      <c r="C50" s="137"/>
      <c r="D50" s="137"/>
      <c r="E50" s="152" t="s">
        <v>95</v>
      </c>
      <c r="F50" s="505"/>
      <c r="G50" s="506"/>
      <c r="H50" s="506"/>
      <c r="I50" s="506"/>
      <c r="J50" s="506"/>
      <c r="K50" s="506"/>
      <c r="L50" s="506"/>
      <c r="M50" s="506"/>
      <c r="N50" s="506"/>
      <c r="O50" s="506"/>
      <c r="P50" s="506"/>
      <c r="Q50" s="506"/>
      <c r="R50" s="587"/>
      <c r="S50" s="587"/>
      <c r="T50" s="587"/>
      <c r="U50" s="588"/>
      <c r="V50" s="588"/>
      <c r="W50" s="589"/>
      <c r="X50" s="137"/>
      <c r="Y50" s="137"/>
      <c r="Z50" s="137"/>
      <c r="AA50" s="137"/>
      <c r="AB50" s="137"/>
      <c r="AC50" s="137"/>
      <c r="AD50" s="137"/>
      <c r="AE50" s="137"/>
      <c r="AF50" s="137"/>
      <c r="AG50" s="777">
        <f>U50/Var_PersonHoursPerMonth</f>
        <v>0</v>
      </c>
      <c r="AH50" s="778"/>
      <c r="AI50" s="591">
        <f>R50*U50</f>
        <v>0</v>
      </c>
      <c r="AJ50" s="575"/>
      <c r="AK50" s="575"/>
      <c r="AL50" s="575"/>
      <c r="AM50" s="831">
        <f>FringeRate_Y6_Student</f>
        <v>2.4E-2</v>
      </c>
      <c r="AN50" s="831"/>
      <c r="AO50" s="575">
        <f>AI50*AM50</f>
        <v>0</v>
      </c>
      <c r="AP50" s="575"/>
      <c r="AQ50" s="575">
        <f>AI50+AO50</f>
        <v>0</v>
      </c>
      <c r="AR50" s="575"/>
      <c r="AS50" s="575"/>
      <c r="AT50" s="576"/>
      <c r="AU50" s="137"/>
      <c r="AV50" s="10"/>
    </row>
    <row r="51" spans="2:48" ht="13.5" thickBot="1" x14ac:dyDescent="0.25">
      <c r="B51" s="10"/>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0"/>
    </row>
    <row r="52" spans="2:48" ht="13.5" thickBot="1" x14ac:dyDescent="0.25">
      <c r="B52" s="10"/>
      <c r="C52" s="150"/>
      <c r="D52" s="151"/>
      <c r="E52" s="151" t="s">
        <v>135</v>
      </c>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5"/>
      <c r="AD52" s="151"/>
      <c r="AE52" s="151"/>
      <c r="AF52" s="151"/>
      <c r="AG52" s="151"/>
      <c r="AH52" s="151"/>
      <c r="AI52" s="833">
        <f>SUM(AI46:AL50)</f>
        <v>0</v>
      </c>
      <c r="AJ52" s="833"/>
      <c r="AK52" s="833"/>
      <c r="AL52" s="833"/>
      <c r="AM52" s="711"/>
      <c r="AN52" s="711"/>
      <c r="AO52" s="833">
        <f>SUM(AO46:AP50)</f>
        <v>0</v>
      </c>
      <c r="AP52" s="833"/>
      <c r="AQ52" s="833">
        <f>SUM(AQ46:AT50)</f>
        <v>0</v>
      </c>
      <c r="AR52" s="833"/>
      <c r="AS52" s="833"/>
      <c r="AT52" s="833"/>
      <c r="AU52" s="153"/>
      <c r="AV52" s="10"/>
    </row>
    <row r="53" spans="2:48" x14ac:dyDescent="0.2">
      <c r="B53" s="10"/>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0"/>
    </row>
    <row r="54" spans="2:48" ht="13.5" thickBot="1" x14ac:dyDescent="0.25">
      <c r="B54" s="10"/>
      <c r="C54" s="137"/>
      <c r="D54" s="142" t="s">
        <v>137</v>
      </c>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0"/>
    </row>
    <row r="55" spans="2:48" ht="18" customHeight="1" thickBot="1" x14ac:dyDescent="0.25">
      <c r="B55" s="10"/>
      <c r="C55" s="137"/>
      <c r="D55" s="137"/>
      <c r="E55" s="137"/>
      <c r="F55" s="510" t="s">
        <v>332</v>
      </c>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484" t="s">
        <v>139</v>
      </c>
      <c r="AL55" s="485"/>
      <c r="AM55" s="485"/>
      <c r="AN55" s="486"/>
      <c r="AO55" s="137"/>
      <c r="AP55" s="137"/>
      <c r="AQ55" s="137"/>
      <c r="AR55" s="137"/>
      <c r="AS55" s="137"/>
      <c r="AT55" s="137"/>
      <c r="AU55" s="137"/>
      <c r="AV55" s="10"/>
    </row>
    <row r="56" spans="2:48" x14ac:dyDescent="0.2">
      <c r="B56" s="10"/>
      <c r="C56" s="137"/>
      <c r="D56" s="137"/>
      <c r="E56" s="149" t="s">
        <v>91</v>
      </c>
      <c r="F56" s="489"/>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1"/>
      <c r="AL56" s="491"/>
      <c r="AM56" s="491"/>
      <c r="AN56" s="492"/>
      <c r="AO56" s="137"/>
      <c r="AP56" s="137"/>
      <c r="AQ56" s="137"/>
      <c r="AR56" s="137"/>
      <c r="AS56" s="137"/>
      <c r="AT56" s="137"/>
      <c r="AU56" s="137"/>
      <c r="AV56" s="10"/>
    </row>
    <row r="57" spans="2:48" x14ac:dyDescent="0.2">
      <c r="B57" s="10"/>
      <c r="C57" s="137"/>
      <c r="D57" s="137"/>
      <c r="E57" s="149" t="s">
        <v>92</v>
      </c>
      <c r="F57" s="475"/>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58"/>
      <c r="AL57" s="458"/>
      <c r="AM57" s="458"/>
      <c r="AN57" s="459"/>
      <c r="AO57" s="137"/>
      <c r="AP57" s="137"/>
      <c r="AQ57" s="137"/>
      <c r="AR57" s="137"/>
      <c r="AS57" s="137"/>
      <c r="AT57" s="137"/>
      <c r="AU57" s="137"/>
      <c r="AV57" s="10"/>
    </row>
    <row r="58" spans="2:48" x14ac:dyDescent="0.2">
      <c r="B58" s="10"/>
      <c r="C58" s="137"/>
      <c r="D58" s="137"/>
      <c r="E58" s="149" t="s">
        <v>93</v>
      </c>
      <c r="F58" s="475"/>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58"/>
      <c r="AL58" s="458"/>
      <c r="AM58" s="458"/>
      <c r="AN58" s="459"/>
      <c r="AO58" s="137"/>
      <c r="AP58" s="137"/>
      <c r="AQ58" s="137"/>
      <c r="AR58" s="137"/>
      <c r="AS58" s="137"/>
      <c r="AT58" s="137"/>
      <c r="AU58" s="137"/>
      <c r="AV58" s="10"/>
    </row>
    <row r="59" spans="2:48" x14ac:dyDescent="0.2">
      <c r="B59" s="10"/>
      <c r="C59" s="137"/>
      <c r="D59" s="137"/>
      <c r="E59" s="149" t="s">
        <v>94</v>
      </c>
      <c r="F59" s="475"/>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58"/>
      <c r="AL59" s="458"/>
      <c r="AM59" s="458"/>
      <c r="AN59" s="459"/>
      <c r="AO59" s="137"/>
      <c r="AP59" s="137"/>
      <c r="AQ59" s="137"/>
      <c r="AR59" s="137"/>
      <c r="AS59" s="137"/>
      <c r="AT59" s="137"/>
      <c r="AU59" s="137"/>
      <c r="AV59" s="10"/>
    </row>
    <row r="60" spans="2:48" x14ac:dyDescent="0.2">
      <c r="B60" s="10"/>
      <c r="C60" s="137"/>
      <c r="D60" s="137"/>
      <c r="E60" s="149" t="s">
        <v>95</v>
      </c>
      <c r="F60" s="475"/>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58"/>
      <c r="AL60" s="458"/>
      <c r="AM60" s="458"/>
      <c r="AN60" s="459"/>
      <c r="AO60" s="137"/>
      <c r="AP60" s="137"/>
      <c r="AQ60" s="137"/>
      <c r="AR60" s="137"/>
      <c r="AS60" s="137"/>
      <c r="AT60" s="137"/>
      <c r="AU60" s="137"/>
      <c r="AV60" s="10"/>
    </row>
    <row r="61" spans="2:48" x14ac:dyDescent="0.2">
      <c r="B61" s="10"/>
      <c r="C61" s="137"/>
      <c r="D61" s="137"/>
      <c r="E61" s="149" t="s">
        <v>96</v>
      </c>
      <c r="F61" s="475"/>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58"/>
      <c r="AL61" s="458"/>
      <c r="AM61" s="458"/>
      <c r="AN61" s="459"/>
      <c r="AO61" s="137"/>
      <c r="AP61" s="137"/>
      <c r="AQ61" s="137"/>
      <c r="AR61" s="137"/>
      <c r="AS61" s="137"/>
      <c r="AT61" s="137"/>
      <c r="AU61" s="137"/>
      <c r="AV61" s="10"/>
    </row>
    <row r="62" spans="2:48" x14ac:dyDescent="0.2">
      <c r="B62" s="10"/>
      <c r="C62" s="137"/>
      <c r="D62" s="137"/>
      <c r="E62" s="149" t="s">
        <v>97</v>
      </c>
      <c r="F62" s="475"/>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58"/>
      <c r="AL62" s="458"/>
      <c r="AM62" s="458"/>
      <c r="AN62" s="459"/>
      <c r="AO62" s="137"/>
      <c r="AP62" s="137"/>
      <c r="AQ62" s="137"/>
      <c r="AR62" s="137"/>
      <c r="AS62" s="137"/>
      <c r="AT62" s="137"/>
      <c r="AU62" s="137"/>
      <c r="AV62" s="10"/>
    </row>
    <row r="63" spans="2:48" x14ac:dyDescent="0.2">
      <c r="B63" s="10"/>
      <c r="C63" s="137"/>
      <c r="D63" s="137"/>
      <c r="E63" s="149" t="s">
        <v>98</v>
      </c>
      <c r="F63" s="475"/>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58"/>
      <c r="AL63" s="458"/>
      <c r="AM63" s="458"/>
      <c r="AN63" s="459"/>
      <c r="AO63" s="137"/>
      <c r="AP63" s="137"/>
      <c r="AQ63" s="137"/>
      <c r="AR63" s="137"/>
      <c r="AS63" s="137"/>
      <c r="AT63" s="137"/>
      <c r="AU63" s="137"/>
      <c r="AV63" s="10"/>
    </row>
    <row r="64" spans="2:48" x14ac:dyDescent="0.2">
      <c r="B64" s="10"/>
      <c r="C64" s="137"/>
      <c r="D64" s="137"/>
      <c r="E64" s="149" t="s">
        <v>99</v>
      </c>
      <c r="F64" s="475"/>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58"/>
      <c r="AL64" s="458"/>
      <c r="AM64" s="458"/>
      <c r="AN64" s="459"/>
      <c r="AO64" s="137"/>
      <c r="AP64" s="137"/>
      <c r="AQ64" s="137"/>
      <c r="AR64" s="137"/>
      <c r="AS64" s="137"/>
      <c r="AT64" s="137"/>
      <c r="AU64" s="137"/>
      <c r="AV64" s="10"/>
    </row>
    <row r="65" spans="2:48" ht="13.5" thickBot="1" x14ac:dyDescent="0.25">
      <c r="B65" s="10"/>
      <c r="C65" s="137"/>
      <c r="D65" s="137"/>
      <c r="E65" s="149" t="s">
        <v>141</v>
      </c>
      <c r="F65" s="505"/>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462"/>
      <c r="AL65" s="462"/>
      <c r="AM65" s="462"/>
      <c r="AN65" s="463"/>
      <c r="AO65" s="137"/>
      <c r="AP65" s="137"/>
      <c r="AQ65" s="137"/>
      <c r="AR65" s="137"/>
      <c r="AS65" s="137"/>
      <c r="AT65" s="137"/>
      <c r="AU65" s="137"/>
      <c r="AV65" s="10"/>
    </row>
    <row r="66" spans="2:48" x14ac:dyDescent="0.2">
      <c r="B66" s="10"/>
      <c r="C66" s="137"/>
      <c r="D66" s="137"/>
      <c r="E66" s="137"/>
      <c r="F66" s="137" t="s">
        <v>140</v>
      </c>
      <c r="G66" s="137"/>
      <c r="H66" s="137"/>
      <c r="I66" s="137"/>
      <c r="J66" s="137"/>
      <c r="K66" s="137"/>
      <c r="L66" s="137"/>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9"/>
      <c r="AP66" s="834">
        <f>SUM(AK56:AN65)</f>
        <v>0</v>
      </c>
      <c r="AQ66" s="835"/>
      <c r="AR66" s="835"/>
      <c r="AS66" s="835"/>
      <c r="AT66" s="836"/>
      <c r="AU66" s="137"/>
      <c r="AV66" s="10"/>
    </row>
    <row r="67" spans="2:48" ht="13.5" thickBot="1" x14ac:dyDescent="0.25">
      <c r="B67" s="10"/>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0"/>
    </row>
    <row r="68" spans="2:48" ht="13.5" thickBot="1" x14ac:dyDescent="0.25">
      <c r="B68" s="10"/>
      <c r="C68" s="137"/>
      <c r="D68" s="137"/>
      <c r="E68" s="137"/>
      <c r="F68" s="510" t="s">
        <v>142</v>
      </c>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484" t="s">
        <v>139</v>
      </c>
      <c r="AL68" s="485"/>
      <c r="AM68" s="485"/>
      <c r="AN68" s="486"/>
      <c r="AO68" s="137"/>
      <c r="AP68" s="137"/>
      <c r="AQ68" s="137"/>
      <c r="AR68" s="137"/>
      <c r="AS68" s="137"/>
      <c r="AT68" s="137"/>
      <c r="AU68" s="137"/>
      <c r="AV68" s="10"/>
    </row>
    <row r="69" spans="2:48" x14ac:dyDescent="0.2">
      <c r="B69" s="10"/>
      <c r="C69" s="137"/>
      <c r="D69" s="137"/>
      <c r="E69" s="149" t="s">
        <v>91</v>
      </c>
      <c r="F69" s="489"/>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1"/>
      <c r="AL69" s="491"/>
      <c r="AM69" s="491"/>
      <c r="AN69" s="492"/>
      <c r="AO69" s="137"/>
      <c r="AP69" s="137"/>
      <c r="AQ69" s="137"/>
      <c r="AR69" s="137"/>
      <c r="AS69" s="137"/>
      <c r="AT69" s="137"/>
      <c r="AU69" s="137"/>
      <c r="AV69" s="10"/>
    </row>
    <row r="70" spans="2:48" x14ac:dyDescent="0.2">
      <c r="B70" s="10"/>
      <c r="C70" s="137"/>
      <c r="D70" s="137"/>
      <c r="E70" s="149" t="s">
        <v>92</v>
      </c>
      <c r="F70" s="475"/>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58"/>
      <c r="AL70" s="458"/>
      <c r="AM70" s="458"/>
      <c r="AN70" s="459"/>
      <c r="AO70" s="137"/>
      <c r="AP70" s="137"/>
      <c r="AQ70" s="137"/>
      <c r="AR70" s="137"/>
      <c r="AS70" s="137"/>
      <c r="AT70" s="137"/>
      <c r="AU70" s="137"/>
      <c r="AV70" s="10"/>
    </row>
    <row r="71" spans="2:48" x14ac:dyDescent="0.2">
      <c r="B71" s="10"/>
      <c r="C71" s="137"/>
      <c r="D71" s="137"/>
      <c r="E71" s="149" t="s">
        <v>93</v>
      </c>
      <c r="F71" s="475"/>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58"/>
      <c r="AL71" s="458"/>
      <c r="AM71" s="458"/>
      <c r="AN71" s="459"/>
      <c r="AO71" s="137"/>
      <c r="AP71" s="137"/>
      <c r="AQ71" s="137"/>
      <c r="AR71" s="137"/>
      <c r="AS71" s="137"/>
      <c r="AT71" s="137"/>
      <c r="AU71" s="137"/>
      <c r="AV71" s="10"/>
    </row>
    <row r="72" spans="2:48" x14ac:dyDescent="0.2">
      <c r="B72" s="10"/>
      <c r="C72" s="137"/>
      <c r="D72" s="137"/>
      <c r="E72" s="149" t="s">
        <v>94</v>
      </c>
      <c r="F72" s="475"/>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58"/>
      <c r="AL72" s="458"/>
      <c r="AM72" s="458"/>
      <c r="AN72" s="459"/>
      <c r="AO72" s="137"/>
      <c r="AP72" s="137"/>
      <c r="AQ72" s="137"/>
      <c r="AR72" s="137"/>
      <c r="AS72" s="137"/>
      <c r="AT72" s="137"/>
      <c r="AU72" s="137"/>
      <c r="AV72" s="10"/>
    </row>
    <row r="73" spans="2:48" x14ac:dyDescent="0.2">
      <c r="B73" s="10"/>
      <c r="C73" s="137"/>
      <c r="D73" s="137"/>
      <c r="E73" s="149" t="s">
        <v>95</v>
      </c>
      <c r="F73" s="475"/>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58"/>
      <c r="AL73" s="458"/>
      <c r="AM73" s="458"/>
      <c r="AN73" s="459"/>
      <c r="AO73" s="137"/>
      <c r="AP73" s="137"/>
      <c r="AQ73" s="137"/>
      <c r="AR73" s="137"/>
      <c r="AS73" s="137"/>
      <c r="AT73" s="137"/>
      <c r="AU73" s="137"/>
      <c r="AV73" s="10"/>
    </row>
    <row r="74" spans="2:48" ht="13.5" customHeight="1" x14ac:dyDescent="0.2">
      <c r="B74" s="10"/>
      <c r="C74" s="137"/>
      <c r="D74" s="137"/>
      <c r="E74" s="149" t="s">
        <v>96</v>
      </c>
      <c r="F74" s="475"/>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58"/>
      <c r="AL74" s="458"/>
      <c r="AM74" s="458"/>
      <c r="AN74" s="459"/>
      <c r="AO74" s="137"/>
      <c r="AP74" s="137"/>
      <c r="AQ74" s="137"/>
      <c r="AR74" s="137"/>
      <c r="AS74" s="137"/>
      <c r="AT74" s="137"/>
      <c r="AU74" s="137"/>
      <c r="AV74" s="10"/>
    </row>
    <row r="75" spans="2:48" x14ac:dyDescent="0.2">
      <c r="B75" s="10"/>
      <c r="C75" s="137"/>
      <c r="D75" s="137"/>
      <c r="E75" s="149" t="s">
        <v>97</v>
      </c>
      <c r="F75" s="475"/>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58"/>
      <c r="AL75" s="458"/>
      <c r="AM75" s="458"/>
      <c r="AN75" s="459"/>
      <c r="AO75" s="137"/>
      <c r="AP75" s="137"/>
      <c r="AQ75" s="137"/>
      <c r="AR75" s="137"/>
      <c r="AS75" s="137"/>
      <c r="AT75" s="137"/>
      <c r="AU75" s="137"/>
      <c r="AV75" s="10"/>
    </row>
    <row r="76" spans="2:48" ht="13.5" thickBot="1" x14ac:dyDescent="0.25">
      <c r="B76" s="10"/>
      <c r="C76" s="137"/>
      <c r="D76" s="137"/>
      <c r="E76" s="149" t="s">
        <v>98</v>
      </c>
      <c r="F76" s="475"/>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58"/>
      <c r="AL76" s="458"/>
      <c r="AM76" s="458"/>
      <c r="AN76" s="459"/>
      <c r="AO76" s="137"/>
      <c r="AP76" s="137"/>
      <c r="AQ76" s="137"/>
      <c r="AR76" s="137"/>
      <c r="AS76" s="137"/>
      <c r="AT76" s="137"/>
      <c r="AU76" s="137"/>
      <c r="AV76" s="10"/>
    </row>
    <row r="77" spans="2:48" ht="13.5" thickBot="1" x14ac:dyDescent="0.25">
      <c r="B77" s="10"/>
      <c r="C77" s="137"/>
      <c r="D77" s="137"/>
      <c r="E77" s="137"/>
      <c r="F77" s="510" t="s">
        <v>143</v>
      </c>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484" t="s">
        <v>139</v>
      </c>
      <c r="AL77" s="485"/>
      <c r="AM77" s="485"/>
      <c r="AN77" s="486"/>
      <c r="AO77" s="137"/>
      <c r="AP77" s="137"/>
      <c r="AQ77" s="137"/>
      <c r="AR77" s="137"/>
      <c r="AS77" s="137"/>
      <c r="AT77" s="137"/>
      <c r="AU77" s="137"/>
      <c r="AV77" s="10"/>
    </row>
    <row r="78" spans="2:48" x14ac:dyDescent="0.2">
      <c r="B78" s="10"/>
      <c r="C78" s="137"/>
      <c r="D78" s="137"/>
      <c r="E78" s="149" t="s">
        <v>91</v>
      </c>
      <c r="F78" s="489"/>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1"/>
      <c r="AL78" s="491"/>
      <c r="AM78" s="491"/>
      <c r="AN78" s="492"/>
      <c r="AO78" s="137"/>
      <c r="AP78" s="137"/>
      <c r="AQ78" s="137"/>
      <c r="AR78" s="137"/>
      <c r="AS78" s="137"/>
      <c r="AT78" s="137"/>
      <c r="AU78" s="137"/>
      <c r="AV78" s="10"/>
    </row>
    <row r="79" spans="2:48" x14ac:dyDescent="0.2">
      <c r="B79" s="10"/>
      <c r="C79" s="137"/>
      <c r="D79" s="137"/>
      <c r="E79" s="149" t="s">
        <v>92</v>
      </c>
      <c r="F79" s="475"/>
      <c r="G79" s="461"/>
      <c r="H79" s="461"/>
      <c r="I79" s="461"/>
      <c r="J79" s="461"/>
      <c r="K79" s="461"/>
      <c r="L79" s="461"/>
      <c r="M79" s="461"/>
      <c r="N79" s="461"/>
      <c r="O79" s="461"/>
      <c r="P79" s="461"/>
      <c r="Q79" s="461"/>
      <c r="R79" s="461"/>
      <c r="S79" s="461"/>
      <c r="T79" s="461"/>
      <c r="U79" s="461"/>
      <c r="V79" s="461"/>
      <c r="W79" s="461"/>
      <c r="X79" s="461"/>
      <c r="Y79" s="461"/>
      <c r="Z79" s="461"/>
      <c r="AA79" s="461"/>
      <c r="AB79" s="461"/>
      <c r="AC79" s="461"/>
      <c r="AD79" s="461"/>
      <c r="AE79" s="461"/>
      <c r="AF79" s="461"/>
      <c r="AG79" s="461"/>
      <c r="AH79" s="461"/>
      <c r="AI79" s="461"/>
      <c r="AJ79" s="461"/>
      <c r="AK79" s="458"/>
      <c r="AL79" s="458"/>
      <c r="AM79" s="458"/>
      <c r="AN79" s="459"/>
      <c r="AO79" s="137"/>
      <c r="AP79" s="137"/>
      <c r="AQ79" s="137"/>
      <c r="AR79" s="137"/>
      <c r="AS79" s="137"/>
      <c r="AT79" s="137"/>
      <c r="AU79" s="137"/>
      <c r="AV79" s="10"/>
    </row>
    <row r="80" spans="2:48" x14ac:dyDescent="0.2">
      <c r="B80" s="10"/>
      <c r="C80" s="137"/>
      <c r="D80" s="137"/>
      <c r="E80" s="149" t="s">
        <v>93</v>
      </c>
      <c r="F80" s="475"/>
      <c r="G80" s="461"/>
      <c r="H80" s="461"/>
      <c r="I80" s="461"/>
      <c r="J80" s="461"/>
      <c r="K80" s="461"/>
      <c r="L80" s="461"/>
      <c r="M80" s="461"/>
      <c r="N80" s="461"/>
      <c r="O80" s="461"/>
      <c r="P80" s="461"/>
      <c r="Q80" s="461"/>
      <c r="R80" s="461"/>
      <c r="S80" s="461"/>
      <c r="T80" s="461"/>
      <c r="U80" s="461"/>
      <c r="V80" s="461"/>
      <c r="W80" s="461"/>
      <c r="X80" s="461"/>
      <c r="Y80" s="461"/>
      <c r="Z80" s="461"/>
      <c r="AA80" s="461"/>
      <c r="AB80" s="461"/>
      <c r="AC80" s="461"/>
      <c r="AD80" s="461"/>
      <c r="AE80" s="461"/>
      <c r="AF80" s="461"/>
      <c r="AG80" s="461"/>
      <c r="AH80" s="461"/>
      <c r="AI80" s="461"/>
      <c r="AJ80" s="461"/>
      <c r="AK80" s="458"/>
      <c r="AL80" s="458"/>
      <c r="AM80" s="458"/>
      <c r="AN80" s="459"/>
      <c r="AO80" s="137"/>
      <c r="AP80" s="137"/>
      <c r="AQ80" s="137"/>
      <c r="AR80" s="137"/>
      <c r="AS80" s="137"/>
      <c r="AT80" s="137"/>
      <c r="AU80" s="137"/>
      <c r="AV80" s="10"/>
    </row>
    <row r="81" spans="2:48" x14ac:dyDescent="0.2">
      <c r="B81" s="10"/>
      <c r="C81" s="137"/>
      <c r="D81" s="137"/>
      <c r="E81" s="149" t="s">
        <v>94</v>
      </c>
      <c r="F81" s="475"/>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461"/>
      <c r="AK81" s="458"/>
      <c r="AL81" s="458"/>
      <c r="AM81" s="458"/>
      <c r="AN81" s="459"/>
      <c r="AO81" s="137"/>
      <c r="AP81" s="137"/>
      <c r="AQ81" s="137"/>
      <c r="AR81" s="137"/>
      <c r="AS81" s="137"/>
      <c r="AT81" s="137"/>
      <c r="AU81" s="137"/>
      <c r="AV81" s="10"/>
    </row>
    <row r="82" spans="2:48" x14ac:dyDescent="0.2">
      <c r="B82" s="10"/>
      <c r="C82" s="137"/>
      <c r="D82" s="137"/>
      <c r="E82" s="149" t="s">
        <v>95</v>
      </c>
      <c r="F82" s="475"/>
      <c r="G82" s="461"/>
      <c r="H82" s="461"/>
      <c r="I82" s="461"/>
      <c r="J82" s="461"/>
      <c r="K82" s="461"/>
      <c r="L82" s="461"/>
      <c r="M82" s="461"/>
      <c r="N82" s="461"/>
      <c r="O82" s="461"/>
      <c r="P82" s="461"/>
      <c r="Q82" s="461"/>
      <c r="R82" s="461"/>
      <c r="S82" s="461"/>
      <c r="T82" s="461"/>
      <c r="U82" s="461"/>
      <c r="V82" s="461"/>
      <c r="W82" s="461"/>
      <c r="X82" s="461"/>
      <c r="Y82" s="461"/>
      <c r="Z82" s="461"/>
      <c r="AA82" s="461"/>
      <c r="AB82" s="461"/>
      <c r="AC82" s="461"/>
      <c r="AD82" s="461"/>
      <c r="AE82" s="461"/>
      <c r="AF82" s="461"/>
      <c r="AG82" s="461"/>
      <c r="AH82" s="461"/>
      <c r="AI82" s="461"/>
      <c r="AJ82" s="461"/>
      <c r="AK82" s="458"/>
      <c r="AL82" s="458"/>
      <c r="AM82" s="458"/>
      <c r="AN82" s="459"/>
      <c r="AO82" s="137"/>
      <c r="AP82" s="137"/>
      <c r="AQ82" s="137"/>
      <c r="AR82" s="137"/>
      <c r="AS82" s="137"/>
      <c r="AT82" s="137"/>
      <c r="AU82" s="137"/>
      <c r="AV82" s="10"/>
    </row>
    <row r="83" spans="2:48" x14ac:dyDescent="0.2">
      <c r="B83" s="10"/>
      <c r="C83" s="137"/>
      <c r="D83" s="137"/>
      <c r="E83" s="149" t="s">
        <v>96</v>
      </c>
      <c r="F83" s="475"/>
      <c r="G83" s="461"/>
      <c r="H83" s="461"/>
      <c r="I83" s="461"/>
      <c r="J83" s="461"/>
      <c r="K83" s="461"/>
      <c r="L83" s="461"/>
      <c r="M83" s="461"/>
      <c r="N83" s="461"/>
      <c r="O83" s="461"/>
      <c r="P83" s="461"/>
      <c r="Q83" s="461"/>
      <c r="R83" s="461"/>
      <c r="S83" s="461"/>
      <c r="T83" s="461"/>
      <c r="U83" s="461"/>
      <c r="V83" s="461"/>
      <c r="W83" s="461"/>
      <c r="X83" s="461"/>
      <c r="Y83" s="461"/>
      <c r="Z83" s="461"/>
      <c r="AA83" s="461"/>
      <c r="AB83" s="461"/>
      <c r="AC83" s="461"/>
      <c r="AD83" s="461"/>
      <c r="AE83" s="461"/>
      <c r="AF83" s="461"/>
      <c r="AG83" s="461"/>
      <c r="AH83" s="461"/>
      <c r="AI83" s="461"/>
      <c r="AJ83" s="461"/>
      <c r="AK83" s="458"/>
      <c r="AL83" s="458"/>
      <c r="AM83" s="458"/>
      <c r="AN83" s="459"/>
      <c r="AO83" s="137"/>
      <c r="AP83" s="137"/>
      <c r="AQ83" s="137"/>
      <c r="AR83" s="137"/>
      <c r="AS83" s="137"/>
      <c r="AT83" s="137"/>
      <c r="AU83" s="137"/>
      <c r="AV83" s="10"/>
    </row>
    <row r="84" spans="2:48" x14ac:dyDescent="0.2">
      <c r="B84" s="10"/>
      <c r="C84" s="137"/>
      <c r="D84" s="137"/>
      <c r="E84" s="149" t="s">
        <v>97</v>
      </c>
      <c r="F84" s="475"/>
      <c r="G84" s="461"/>
      <c r="H84" s="461"/>
      <c r="I84" s="461"/>
      <c r="J84" s="461"/>
      <c r="K84" s="461"/>
      <c r="L84" s="461"/>
      <c r="M84" s="461"/>
      <c r="N84" s="461"/>
      <c r="O84" s="461"/>
      <c r="P84" s="461"/>
      <c r="Q84" s="461"/>
      <c r="R84" s="461"/>
      <c r="S84" s="461"/>
      <c r="T84" s="461"/>
      <c r="U84" s="461"/>
      <c r="V84" s="461"/>
      <c r="W84" s="461"/>
      <c r="X84" s="461"/>
      <c r="Y84" s="461"/>
      <c r="Z84" s="461"/>
      <c r="AA84" s="461"/>
      <c r="AB84" s="461"/>
      <c r="AC84" s="461"/>
      <c r="AD84" s="461"/>
      <c r="AE84" s="461"/>
      <c r="AF84" s="461"/>
      <c r="AG84" s="461"/>
      <c r="AH84" s="461"/>
      <c r="AI84" s="461"/>
      <c r="AJ84" s="461"/>
      <c r="AK84" s="458"/>
      <c r="AL84" s="458"/>
      <c r="AM84" s="458"/>
      <c r="AN84" s="459"/>
      <c r="AO84" s="137"/>
      <c r="AP84" s="137"/>
      <c r="AQ84" s="137"/>
      <c r="AR84" s="137"/>
      <c r="AS84" s="137"/>
      <c r="AT84" s="137"/>
      <c r="AU84" s="137"/>
      <c r="AV84" s="10"/>
    </row>
    <row r="85" spans="2:48" ht="13.5" thickBot="1" x14ac:dyDescent="0.25">
      <c r="B85" s="10"/>
      <c r="C85" s="137"/>
      <c r="D85" s="137"/>
      <c r="E85" s="149" t="s">
        <v>98</v>
      </c>
      <c r="F85" s="505"/>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462"/>
      <c r="AL85" s="462"/>
      <c r="AM85" s="462"/>
      <c r="AN85" s="463"/>
      <c r="AO85" s="137"/>
      <c r="AP85" s="137"/>
      <c r="AQ85" s="137"/>
      <c r="AR85" s="137"/>
      <c r="AS85" s="137"/>
      <c r="AT85" s="137"/>
      <c r="AU85" s="137"/>
      <c r="AV85" s="10"/>
    </row>
    <row r="86" spans="2:48" x14ac:dyDescent="0.2">
      <c r="B86" s="10"/>
      <c r="C86" s="137"/>
      <c r="D86" s="137"/>
      <c r="E86" s="137"/>
      <c r="F86" s="137" t="s">
        <v>144</v>
      </c>
      <c r="G86" s="137"/>
      <c r="H86" s="137"/>
      <c r="I86" s="137"/>
      <c r="J86" s="137"/>
      <c r="K86" s="137"/>
      <c r="L86" s="137"/>
      <c r="M86" s="13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37"/>
      <c r="AP86" s="834">
        <f>SUM(AK69:AN76)</f>
        <v>0</v>
      </c>
      <c r="AQ86" s="835"/>
      <c r="AR86" s="835"/>
      <c r="AS86" s="835"/>
      <c r="AT86" s="836"/>
      <c r="AU86" s="137"/>
      <c r="AV86" s="10"/>
    </row>
    <row r="87" spans="2:48" x14ac:dyDescent="0.2">
      <c r="B87" s="10"/>
      <c r="C87" s="137"/>
      <c r="D87" s="137"/>
      <c r="E87" s="137"/>
      <c r="F87" s="137" t="s">
        <v>145</v>
      </c>
      <c r="G87" s="137"/>
      <c r="H87" s="137"/>
      <c r="I87" s="137"/>
      <c r="J87" s="137"/>
      <c r="K87" s="137"/>
      <c r="L87" s="137"/>
      <c r="M87" s="137"/>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37"/>
      <c r="AP87" s="834">
        <f>SUM(AK78:AN85)</f>
        <v>0</v>
      </c>
      <c r="AQ87" s="835"/>
      <c r="AR87" s="835"/>
      <c r="AS87" s="835"/>
      <c r="AT87" s="836"/>
      <c r="AU87" s="137"/>
      <c r="AV87" s="10"/>
    </row>
    <row r="88" spans="2:48" ht="13.5" thickBot="1" x14ac:dyDescent="0.25">
      <c r="B88" s="10"/>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0"/>
    </row>
    <row r="89" spans="2:48" ht="13.5" thickBot="1" x14ac:dyDescent="0.25">
      <c r="B89" s="10"/>
      <c r="C89" s="137"/>
      <c r="D89" s="137"/>
      <c r="E89" s="137"/>
      <c r="F89" s="510" t="s">
        <v>333</v>
      </c>
      <c r="G89" s="517"/>
      <c r="H89" s="517"/>
      <c r="I89" s="517"/>
      <c r="J89" s="517"/>
      <c r="K89" s="517"/>
      <c r="L89" s="517"/>
      <c r="M89" s="517"/>
      <c r="N89" s="517"/>
      <c r="O89" s="517"/>
      <c r="P89" s="517"/>
      <c r="Q89" s="517"/>
      <c r="R89" s="517"/>
      <c r="S89" s="517"/>
      <c r="T89" s="517"/>
      <c r="U89" s="517"/>
      <c r="V89" s="517"/>
      <c r="W89" s="517"/>
      <c r="X89" s="517"/>
      <c r="Y89" s="517"/>
      <c r="Z89" s="517"/>
      <c r="AA89" s="517"/>
      <c r="AB89" s="517"/>
      <c r="AC89" s="517"/>
      <c r="AD89" s="517"/>
      <c r="AE89" s="517"/>
      <c r="AF89" s="517"/>
      <c r="AG89" s="517"/>
      <c r="AH89" s="517"/>
      <c r="AI89" s="517"/>
      <c r="AJ89" s="517"/>
      <c r="AK89" s="484" t="s">
        <v>139</v>
      </c>
      <c r="AL89" s="485"/>
      <c r="AM89" s="485"/>
      <c r="AN89" s="486"/>
      <c r="AO89" s="137"/>
      <c r="AP89" s="137"/>
      <c r="AQ89" s="137"/>
      <c r="AR89" s="137"/>
      <c r="AS89" s="137"/>
      <c r="AT89" s="137"/>
      <c r="AU89" s="137"/>
      <c r="AV89" s="10"/>
    </row>
    <row r="90" spans="2:48" x14ac:dyDescent="0.2">
      <c r="B90" s="10"/>
      <c r="C90" s="137"/>
      <c r="D90" s="137"/>
      <c r="E90" s="149" t="s">
        <v>91</v>
      </c>
      <c r="F90" s="493" t="s">
        <v>283</v>
      </c>
      <c r="G90" s="494"/>
      <c r="H90" s="494"/>
      <c r="I90" s="494"/>
      <c r="J90" s="494"/>
      <c r="K90" s="494"/>
      <c r="L90" s="389"/>
      <c r="M90" s="498"/>
      <c r="N90" s="499"/>
      <c r="O90" s="499"/>
      <c r="P90" s="499"/>
      <c r="Q90" s="499"/>
      <c r="R90" s="499"/>
      <c r="S90" s="499"/>
      <c r="T90" s="499"/>
      <c r="U90" s="499"/>
      <c r="V90" s="499"/>
      <c r="W90" s="499"/>
      <c r="X90" s="499"/>
      <c r="Y90" s="499"/>
      <c r="Z90" s="499"/>
      <c r="AA90" s="499"/>
      <c r="AB90" s="499"/>
      <c r="AC90" s="499"/>
      <c r="AD90" s="499"/>
      <c r="AE90" s="499"/>
      <c r="AF90" s="499"/>
      <c r="AG90" s="499"/>
      <c r="AH90" s="499"/>
      <c r="AI90" s="499"/>
      <c r="AJ90" s="500"/>
      <c r="AK90" s="487"/>
      <c r="AL90" s="487"/>
      <c r="AM90" s="487"/>
      <c r="AN90" s="488"/>
      <c r="AO90" s="137"/>
      <c r="AP90" s="137"/>
      <c r="AQ90" s="137"/>
      <c r="AR90" s="137"/>
      <c r="AS90" s="137"/>
      <c r="AT90" s="137"/>
      <c r="AU90" s="137"/>
      <c r="AV90" s="10"/>
    </row>
    <row r="91" spans="2:48" x14ac:dyDescent="0.2">
      <c r="B91" s="10"/>
      <c r="C91" s="137"/>
      <c r="D91" s="137"/>
      <c r="E91" s="149" t="s">
        <v>92</v>
      </c>
      <c r="F91" s="495" t="s">
        <v>157</v>
      </c>
      <c r="G91" s="496"/>
      <c r="H91" s="496"/>
      <c r="I91" s="496"/>
      <c r="J91" s="496"/>
      <c r="K91" s="496"/>
      <c r="L91" s="497"/>
      <c r="M91" s="501"/>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3"/>
      <c r="AK91" s="458"/>
      <c r="AL91" s="458"/>
      <c r="AM91" s="458"/>
      <c r="AN91" s="459"/>
      <c r="AO91" s="137"/>
      <c r="AP91" s="137"/>
      <c r="AQ91" s="137"/>
      <c r="AR91" s="137"/>
      <c r="AS91" s="137"/>
      <c r="AT91" s="137"/>
      <c r="AU91" s="137"/>
      <c r="AV91" s="10"/>
    </row>
    <row r="92" spans="2:48" x14ac:dyDescent="0.2">
      <c r="B92" s="10"/>
      <c r="C92" s="137"/>
      <c r="D92" s="137"/>
      <c r="E92" s="149" t="s">
        <v>93</v>
      </c>
      <c r="F92" s="573" t="s">
        <v>528</v>
      </c>
      <c r="G92" s="395"/>
      <c r="H92" s="395"/>
      <c r="I92" s="395"/>
      <c r="J92" s="395"/>
      <c r="K92" s="395"/>
      <c r="L92" s="396"/>
      <c r="M92" s="471"/>
      <c r="N92" s="472"/>
      <c r="O92" s="472"/>
      <c r="P92" s="472"/>
      <c r="Q92" s="472"/>
      <c r="R92" s="472"/>
      <c r="S92" s="472"/>
      <c r="T92" s="472"/>
      <c r="U92" s="472"/>
      <c r="V92" s="472"/>
      <c r="W92" s="472"/>
      <c r="X92" s="472"/>
      <c r="Y92" s="472"/>
      <c r="Z92" s="472"/>
      <c r="AA92" s="472"/>
      <c r="AB92" s="472"/>
      <c r="AC92" s="472"/>
      <c r="AD92" s="472"/>
      <c r="AE92" s="472"/>
      <c r="AF92" s="472"/>
      <c r="AG92" s="472"/>
      <c r="AH92" s="472"/>
      <c r="AI92" s="472"/>
      <c r="AJ92" s="473"/>
      <c r="AK92" s="458"/>
      <c r="AL92" s="458"/>
      <c r="AM92" s="458"/>
      <c r="AN92" s="459"/>
      <c r="AO92" s="137"/>
      <c r="AP92" s="137"/>
      <c r="AQ92" s="137"/>
      <c r="AR92" s="137"/>
      <c r="AS92" s="137"/>
      <c r="AT92" s="137"/>
      <c r="AU92" s="137"/>
      <c r="AV92" s="10"/>
    </row>
    <row r="93" spans="2:48" x14ac:dyDescent="0.2">
      <c r="B93" s="10"/>
      <c r="C93" s="137"/>
      <c r="D93" s="137"/>
      <c r="E93" s="149" t="s">
        <v>94</v>
      </c>
      <c r="F93" s="563"/>
      <c r="G93" s="564"/>
      <c r="H93" s="564"/>
      <c r="I93" s="564"/>
      <c r="J93" s="564"/>
      <c r="K93" s="564"/>
      <c r="L93" s="565"/>
      <c r="M93" s="471"/>
      <c r="N93" s="472"/>
      <c r="O93" s="472"/>
      <c r="P93" s="472"/>
      <c r="Q93" s="472"/>
      <c r="R93" s="472"/>
      <c r="S93" s="472"/>
      <c r="T93" s="472"/>
      <c r="U93" s="472"/>
      <c r="V93" s="472"/>
      <c r="W93" s="472"/>
      <c r="X93" s="472"/>
      <c r="Y93" s="472"/>
      <c r="Z93" s="472"/>
      <c r="AA93" s="472"/>
      <c r="AB93" s="472"/>
      <c r="AC93" s="472"/>
      <c r="AD93" s="472"/>
      <c r="AE93" s="472"/>
      <c r="AF93" s="472"/>
      <c r="AG93" s="472"/>
      <c r="AH93" s="472"/>
      <c r="AI93" s="472"/>
      <c r="AJ93" s="473"/>
      <c r="AK93" s="458"/>
      <c r="AL93" s="458"/>
      <c r="AM93" s="458"/>
      <c r="AN93" s="459"/>
      <c r="AO93" s="137"/>
      <c r="AP93" s="137"/>
      <c r="AQ93" s="137"/>
      <c r="AR93" s="137"/>
      <c r="AS93" s="137"/>
      <c r="AT93" s="137"/>
      <c r="AU93" s="137"/>
      <c r="AV93" s="10"/>
    </row>
    <row r="94" spans="2:48" x14ac:dyDescent="0.2">
      <c r="B94" s="10"/>
      <c r="C94" s="137"/>
      <c r="D94" s="137"/>
      <c r="E94" s="149" t="s">
        <v>95</v>
      </c>
      <c r="F94" s="563"/>
      <c r="G94" s="564"/>
      <c r="H94" s="564"/>
      <c r="I94" s="564"/>
      <c r="J94" s="564"/>
      <c r="K94" s="564"/>
      <c r="L94" s="565"/>
      <c r="M94" s="471"/>
      <c r="N94" s="472"/>
      <c r="O94" s="472"/>
      <c r="P94" s="472"/>
      <c r="Q94" s="472"/>
      <c r="R94" s="472"/>
      <c r="S94" s="472"/>
      <c r="T94" s="472"/>
      <c r="U94" s="472"/>
      <c r="V94" s="472"/>
      <c r="W94" s="472"/>
      <c r="X94" s="472"/>
      <c r="Y94" s="472"/>
      <c r="Z94" s="472"/>
      <c r="AA94" s="472"/>
      <c r="AB94" s="472"/>
      <c r="AC94" s="472"/>
      <c r="AD94" s="472"/>
      <c r="AE94" s="472"/>
      <c r="AF94" s="472"/>
      <c r="AG94" s="472"/>
      <c r="AH94" s="472"/>
      <c r="AI94" s="472"/>
      <c r="AJ94" s="473"/>
      <c r="AK94" s="458"/>
      <c r="AL94" s="458"/>
      <c r="AM94" s="458"/>
      <c r="AN94" s="459"/>
      <c r="AO94" s="137"/>
      <c r="AP94" s="137"/>
      <c r="AQ94" s="137"/>
      <c r="AR94" s="137"/>
      <c r="AS94" s="137"/>
      <c r="AT94" s="137"/>
      <c r="AU94" s="137"/>
      <c r="AV94" s="10"/>
    </row>
    <row r="95" spans="2:48" x14ac:dyDescent="0.2">
      <c r="B95" s="10"/>
      <c r="C95" s="137"/>
      <c r="D95" s="137"/>
      <c r="E95" s="149" t="s">
        <v>96</v>
      </c>
      <c r="F95" s="563"/>
      <c r="G95" s="564"/>
      <c r="H95" s="564"/>
      <c r="I95" s="564"/>
      <c r="J95" s="564"/>
      <c r="K95" s="564"/>
      <c r="L95" s="565"/>
      <c r="M95" s="471"/>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3"/>
      <c r="AK95" s="458"/>
      <c r="AL95" s="458"/>
      <c r="AM95" s="458"/>
      <c r="AN95" s="459"/>
      <c r="AO95" s="137"/>
      <c r="AP95" s="137"/>
      <c r="AQ95" s="137"/>
      <c r="AR95" s="137"/>
      <c r="AS95" s="137"/>
      <c r="AT95" s="137"/>
      <c r="AU95" s="137"/>
      <c r="AV95" s="10"/>
    </row>
    <row r="96" spans="2:48" x14ac:dyDescent="0.2">
      <c r="B96" s="10"/>
      <c r="C96" s="137"/>
      <c r="D96" s="137"/>
      <c r="E96" s="149" t="s">
        <v>97</v>
      </c>
      <c r="F96" s="563"/>
      <c r="G96" s="564"/>
      <c r="H96" s="564"/>
      <c r="I96" s="564"/>
      <c r="J96" s="564"/>
      <c r="K96" s="564"/>
      <c r="L96" s="565"/>
      <c r="M96" s="471"/>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3"/>
      <c r="AK96" s="458"/>
      <c r="AL96" s="458"/>
      <c r="AM96" s="458"/>
      <c r="AN96" s="459"/>
      <c r="AO96" s="137"/>
      <c r="AP96" s="137"/>
      <c r="AQ96" s="137"/>
      <c r="AR96" s="137"/>
      <c r="AS96" s="137"/>
      <c r="AT96" s="137"/>
      <c r="AU96" s="137"/>
      <c r="AV96" s="10"/>
    </row>
    <row r="97" spans="2:48" x14ac:dyDescent="0.2">
      <c r="B97" s="10"/>
      <c r="C97" s="137"/>
      <c r="D97" s="137"/>
      <c r="E97" s="149" t="s">
        <v>98</v>
      </c>
      <c r="F97" s="563"/>
      <c r="G97" s="564"/>
      <c r="H97" s="564"/>
      <c r="I97" s="564"/>
      <c r="J97" s="564"/>
      <c r="K97" s="564"/>
      <c r="L97" s="565"/>
      <c r="M97" s="471"/>
      <c r="N97" s="472"/>
      <c r="O97" s="472"/>
      <c r="P97" s="472"/>
      <c r="Q97" s="472"/>
      <c r="R97" s="472"/>
      <c r="S97" s="472"/>
      <c r="T97" s="472"/>
      <c r="U97" s="472"/>
      <c r="V97" s="472"/>
      <c r="W97" s="472"/>
      <c r="X97" s="472"/>
      <c r="Y97" s="472"/>
      <c r="Z97" s="472"/>
      <c r="AA97" s="472"/>
      <c r="AB97" s="472"/>
      <c r="AC97" s="472"/>
      <c r="AD97" s="472"/>
      <c r="AE97" s="472"/>
      <c r="AF97" s="472"/>
      <c r="AG97" s="472"/>
      <c r="AH97" s="472"/>
      <c r="AI97" s="472"/>
      <c r="AJ97" s="473"/>
      <c r="AK97" s="458"/>
      <c r="AL97" s="458"/>
      <c r="AM97" s="458"/>
      <c r="AN97" s="459"/>
      <c r="AO97" s="137"/>
      <c r="AP97" s="137"/>
      <c r="AQ97" s="137"/>
      <c r="AR97" s="137"/>
      <c r="AS97" s="137"/>
      <c r="AT97" s="137"/>
      <c r="AU97" s="137"/>
      <c r="AV97" s="10"/>
    </row>
    <row r="98" spans="2:48" x14ac:dyDescent="0.2">
      <c r="B98" s="10"/>
      <c r="C98" s="137"/>
      <c r="D98" s="137"/>
      <c r="E98" s="149" t="s">
        <v>99</v>
      </c>
      <c r="F98" s="563"/>
      <c r="G98" s="564"/>
      <c r="H98" s="564"/>
      <c r="I98" s="564"/>
      <c r="J98" s="564"/>
      <c r="K98" s="564"/>
      <c r="L98" s="565"/>
      <c r="M98" s="471"/>
      <c r="N98" s="472"/>
      <c r="O98" s="472"/>
      <c r="P98" s="472"/>
      <c r="Q98" s="472"/>
      <c r="R98" s="472"/>
      <c r="S98" s="472"/>
      <c r="T98" s="472"/>
      <c r="U98" s="472"/>
      <c r="V98" s="472"/>
      <c r="W98" s="472"/>
      <c r="X98" s="472"/>
      <c r="Y98" s="472"/>
      <c r="Z98" s="472"/>
      <c r="AA98" s="472"/>
      <c r="AB98" s="472"/>
      <c r="AC98" s="472"/>
      <c r="AD98" s="472"/>
      <c r="AE98" s="472"/>
      <c r="AF98" s="472"/>
      <c r="AG98" s="472"/>
      <c r="AH98" s="472"/>
      <c r="AI98" s="472"/>
      <c r="AJ98" s="473"/>
      <c r="AK98" s="458"/>
      <c r="AL98" s="458"/>
      <c r="AM98" s="458"/>
      <c r="AN98" s="459"/>
      <c r="AO98" s="137"/>
      <c r="AP98" s="137"/>
      <c r="AQ98" s="137"/>
      <c r="AR98" s="137"/>
      <c r="AS98" s="137"/>
      <c r="AT98" s="137"/>
      <c r="AU98" s="137"/>
      <c r="AV98" s="10"/>
    </row>
    <row r="99" spans="2:48" ht="13.5" thickBot="1" x14ac:dyDescent="0.25">
      <c r="B99" s="10"/>
      <c r="C99" s="137"/>
      <c r="D99" s="137"/>
      <c r="E99" s="149" t="s">
        <v>141</v>
      </c>
      <c r="F99" s="574"/>
      <c r="G99" s="398"/>
      <c r="H99" s="398"/>
      <c r="I99" s="398"/>
      <c r="J99" s="398"/>
      <c r="K99" s="398"/>
      <c r="L99" s="399"/>
      <c r="M99" s="474"/>
      <c r="N99" s="468"/>
      <c r="O99" s="468"/>
      <c r="P99" s="468"/>
      <c r="Q99" s="468"/>
      <c r="R99" s="468"/>
      <c r="S99" s="468"/>
      <c r="T99" s="468"/>
      <c r="U99" s="468"/>
      <c r="V99" s="468"/>
      <c r="W99" s="468"/>
      <c r="X99" s="468"/>
      <c r="Y99" s="468"/>
      <c r="Z99" s="468"/>
      <c r="AA99" s="468"/>
      <c r="AB99" s="468"/>
      <c r="AC99" s="468"/>
      <c r="AD99" s="468"/>
      <c r="AE99" s="468"/>
      <c r="AF99" s="468"/>
      <c r="AG99" s="468"/>
      <c r="AH99" s="468"/>
      <c r="AI99" s="468"/>
      <c r="AJ99" s="469"/>
      <c r="AK99" s="462"/>
      <c r="AL99" s="462"/>
      <c r="AM99" s="462"/>
      <c r="AN99" s="463"/>
      <c r="AO99" s="137"/>
      <c r="AP99" s="137"/>
      <c r="AQ99" s="137"/>
      <c r="AR99" s="137"/>
      <c r="AS99" s="137"/>
      <c r="AT99" s="137"/>
      <c r="AU99" s="137"/>
      <c r="AV99" s="10"/>
    </row>
    <row r="100" spans="2:48" x14ac:dyDescent="0.2">
      <c r="B100" s="10"/>
      <c r="C100" s="137"/>
      <c r="D100" s="137"/>
      <c r="E100" s="137"/>
      <c r="F100" s="137" t="s">
        <v>146</v>
      </c>
      <c r="G100" s="137"/>
      <c r="H100" s="137"/>
      <c r="I100" s="137"/>
      <c r="J100" s="137"/>
      <c r="K100" s="137"/>
      <c r="L100" s="137"/>
      <c r="M100" s="137"/>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37"/>
      <c r="AP100" s="834">
        <f>SUM(AK90:AN99)</f>
        <v>0</v>
      </c>
      <c r="AQ100" s="835"/>
      <c r="AR100" s="835"/>
      <c r="AS100" s="835"/>
      <c r="AT100" s="836"/>
      <c r="AU100" s="137"/>
      <c r="AV100" s="10"/>
    </row>
    <row r="101" spans="2:48" ht="13.5" thickBot="1" x14ac:dyDescent="0.25">
      <c r="B101" s="10"/>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0"/>
    </row>
    <row r="102" spans="2:48" ht="13.5" customHeight="1" thickBot="1" x14ac:dyDescent="0.25">
      <c r="B102" s="10"/>
      <c r="C102" s="137"/>
      <c r="D102" s="137"/>
      <c r="E102" s="137"/>
      <c r="F102" s="510" t="s">
        <v>171</v>
      </c>
      <c r="G102" s="517"/>
      <c r="H102" s="517"/>
      <c r="I102" s="517"/>
      <c r="J102" s="517"/>
      <c r="K102" s="517"/>
      <c r="L102" s="517"/>
      <c r="M102" s="517"/>
      <c r="N102" s="517"/>
      <c r="O102" s="517"/>
      <c r="P102" s="517"/>
      <c r="Q102" s="517"/>
      <c r="R102" s="517"/>
      <c r="S102" s="517"/>
      <c r="T102" s="517"/>
      <c r="U102" s="517"/>
      <c r="V102" s="517"/>
      <c r="W102" s="517"/>
      <c r="X102" s="517"/>
      <c r="Y102" s="517"/>
      <c r="Z102" s="517"/>
      <c r="AA102" s="517"/>
      <c r="AB102" s="517"/>
      <c r="AC102" s="517"/>
      <c r="AD102" s="517"/>
      <c r="AE102" s="517"/>
      <c r="AF102" s="517"/>
      <c r="AG102" s="517" t="s">
        <v>217</v>
      </c>
      <c r="AH102" s="517"/>
      <c r="AI102" s="517"/>
      <c r="AJ102" s="517"/>
      <c r="AK102" s="484" t="s">
        <v>139</v>
      </c>
      <c r="AL102" s="485"/>
      <c r="AM102" s="485"/>
      <c r="AN102" s="486"/>
      <c r="AO102" s="137"/>
      <c r="AP102" s="137"/>
      <c r="AQ102" s="137"/>
      <c r="AR102" s="137"/>
      <c r="AS102" s="137"/>
      <c r="AT102" s="137"/>
      <c r="AU102" s="137"/>
      <c r="AV102" s="10"/>
    </row>
    <row r="103" spans="2:48" x14ac:dyDescent="0.2">
      <c r="B103" s="10"/>
      <c r="C103" s="137"/>
      <c r="D103" s="137"/>
      <c r="E103" s="149" t="s">
        <v>91</v>
      </c>
      <c r="F103" s="548">
        <f>'Budget Period 1'!F103</f>
        <v>0</v>
      </c>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21">
        <f>Data_Subaward_Y1_1 + Data_Subaward_Y2_1 + Data_Subaward_Y3_1 + Data_Subaward_Y4_1 + Data_Subaward_Y5_1 + Data_Subaward_Y6_1</f>
        <v>0</v>
      </c>
      <c r="AH103" s="521"/>
      <c r="AI103" s="521"/>
      <c r="AJ103" s="521"/>
      <c r="AK103" s="487"/>
      <c r="AL103" s="487"/>
      <c r="AM103" s="487"/>
      <c r="AN103" s="488"/>
      <c r="AO103" s="137"/>
      <c r="AP103" s="137"/>
      <c r="AQ103" s="137"/>
      <c r="AR103" s="137"/>
      <c r="AS103" s="137"/>
      <c r="AT103" s="137"/>
      <c r="AU103" s="137"/>
      <c r="AV103" s="10"/>
    </row>
    <row r="104" spans="2:48" x14ac:dyDescent="0.2">
      <c r="B104" s="10"/>
      <c r="C104" s="137"/>
      <c r="D104" s="137"/>
      <c r="E104" s="149" t="s">
        <v>92</v>
      </c>
      <c r="F104" s="546">
        <f>'Budget Period 1'!F104</f>
        <v>0</v>
      </c>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15">
        <f>Data_Subaward_Y1_2 + Data_Subaward_Y2_2 + Data_Subaward_Y3_2 + Data_Subaward_Y4_2 + Data_Subaward_Y5_2 + Data_Subaward_Y6_2</f>
        <v>0</v>
      </c>
      <c r="AH104" s="515"/>
      <c r="AI104" s="515"/>
      <c r="AJ104" s="515"/>
      <c r="AK104" s="458"/>
      <c r="AL104" s="458"/>
      <c r="AM104" s="458"/>
      <c r="AN104" s="459"/>
      <c r="AO104" s="137"/>
      <c r="AP104" s="137"/>
      <c r="AQ104" s="137"/>
      <c r="AR104" s="137"/>
      <c r="AS104" s="137"/>
      <c r="AT104" s="137"/>
      <c r="AU104" s="137"/>
      <c r="AV104" s="10"/>
    </row>
    <row r="105" spans="2:48" x14ac:dyDescent="0.2">
      <c r="B105" s="10"/>
      <c r="C105" s="137"/>
      <c r="D105" s="137"/>
      <c r="E105" s="149" t="s">
        <v>93</v>
      </c>
      <c r="F105" s="546">
        <f>'Budget Period 1'!F105</f>
        <v>0</v>
      </c>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15">
        <f>Data_Subaward_Y1_3 + Data_Subaward_Y2_3 + Data_Subaward_Y3_3 + Data_Subaward_Y4_3 + Data_Subaward_Y5_3 + Data_Subaward_Y6_3</f>
        <v>0</v>
      </c>
      <c r="AH105" s="515"/>
      <c r="AI105" s="515"/>
      <c r="AJ105" s="515"/>
      <c r="AK105" s="458"/>
      <c r="AL105" s="458"/>
      <c r="AM105" s="458"/>
      <c r="AN105" s="459"/>
      <c r="AO105" s="137"/>
      <c r="AP105" s="137"/>
      <c r="AQ105" s="137"/>
      <c r="AR105" s="137"/>
      <c r="AS105" s="137"/>
      <c r="AT105" s="137"/>
      <c r="AU105" s="137"/>
      <c r="AV105" s="10"/>
    </row>
    <row r="106" spans="2:48" x14ac:dyDescent="0.2">
      <c r="B106" s="10"/>
      <c r="C106" s="137"/>
      <c r="D106" s="137"/>
      <c r="E106" s="149" t="s">
        <v>94</v>
      </c>
      <c r="F106" s="546">
        <f>'Budget Period 1'!F106</f>
        <v>0</v>
      </c>
      <c r="G106" s="547"/>
      <c r="H106" s="547"/>
      <c r="I106" s="547"/>
      <c r="J106" s="547"/>
      <c r="K106" s="547"/>
      <c r="L106" s="547"/>
      <c r="M106" s="547"/>
      <c r="N106" s="547"/>
      <c r="O106" s="547"/>
      <c r="P106" s="547"/>
      <c r="Q106" s="547"/>
      <c r="R106" s="547"/>
      <c r="S106" s="547"/>
      <c r="T106" s="547"/>
      <c r="U106" s="547"/>
      <c r="V106" s="547"/>
      <c r="W106" s="547"/>
      <c r="X106" s="547"/>
      <c r="Y106" s="547"/>
      <c r="Z106" s="547"/>
      <c r="AA106" s="547"/>
      <c r="AB106" s="547"/>
      <c r="AC106" s="547"/>
      <c r="AD106" s="547"/>
      <c r="AE106" s="547"/>
      <c r="AF106" s="547"/>
      <c r="AG106" s="515">
        <f>Data_Subaward_Y1_4 + Data_Subaward_Y2_4 + Data_Subaward_Y3_4 + Data_Subaward_Y4_4 + Data_Subaward_Y5_4 + Data_Subaward_Y6_4</f>
        <v>0</v>
      </c>
      <c r="AH106" s="515"/>
      <c r="AI106" s="515"/>
      <c r="AJ106" s="515"/>
      <c r="AK106" s="458"/>
      <c r="AL106" s="458"/>
      <c r="AM106" s="458"/>
      <c r="AN106" s="459"/>
      <c r="AO106" s="137"/>
      <c r="AP106" s="137"/>
      <c r="AQ106" s="137"/>
      <c r="AR106" s="137"/>
      <c r="AS106" s="137"/>
      <c r="AT106" s="137"/>
      <c r="AU106" s="137"/>
      <c r="AV106" s="10"/>
    </row>
    <row r="107" spans="2:48" ht="13.5" thickBot="1" x14ac:dyDescent="0.25">
      <c r="B107" s="10"/>
      <c r="C107" s="137"/>
      <c r="D107" s="137"/>
      <c r="E107" s="149" t="s">
        <v>95</v>
      </c>
      <c r="F107" s="757">
        <f>'Budget Period 1'!F107</f>
        <v>0</v>
      </c>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575">
        <f>Data_Subaward_Y1_5 + Data_Subaward_Y2_5 + Data_Subaward_Y3_5 + Data_Subaward_Y4_5 + Data_Subaward_Y5_5 + Data_Subaward_Y6_5</f>
        <v>0</v>
      </c>
      <c r="AH107" s="575"/>
      <c r="AI107" s="575"/>
      <c r="AJ107" s="575"/>
      <c r="AK107" s="458"/>
      <c r="AL107" s="458"/>
      <c r="AM107" s="458"/>
      <c r="AN107" s="459"/>
      <c r="AO107" s="137"/>
      <c r="AP107" s="137"/>
      <c r="AQ107" s="137"/>
      <c r="AR107" s="137"/>
      <c r="AS107" s="137"/>
      <c r="AT107" s="137"/>
      <c r="AU107" s="137"/>
      <c r="AV107" s="10"/>
    </row>
    <row r="108" spans="2:48" ht="13.5" thickBot="1" x14ac:dyDescent="0.25">
      <c r="B108" s="10"/>
      <c r="C108" s="137"/>
      <c r="D108" s="137"/>
      <c r="E108" s="137"/>
      <c r="F108" s="510" t="s">
        <v>170</v>
      </c>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484" t="s">
        <v>139</v>
      </c>
      <c r="AL108" s="485"/>
      <c r="AM108" s="485"/>
      <c r="AN108" s="486"/>
      <c r="AO108" s="137"/>
      <c r="AP108" s="137"/>
      <c r="AQ108" s="137"/>
      <c r="AR108" s="137"/>
      <c r="AS108" s="137"/>
      <c r="AT108" s="137"/>
      <c r="AU108" s="137"/>
      <c r="AV108" s="10"/>
    </row>
    <row r="109" spans="2:48" x14ac:dyDescent="0.2">
      <c r="B109" s="10"/>
      <c r="C109" s="137"/>
      <c r="D109" s="137"/>
      <c r="E109" s="149" t="s">
        <v>91</v>
      </c>
      <c r="F109" s="493">
        <f>'Budget Period 1'!F109</f>
        <v>0</v>
      </c>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389"/>
      <c r="AK109" s="487"/>
      <c r="AL109" s="487"/>
      <c r="AM109" s="487"/>
      <c r="AN109" s="488"/>
      <c r="AO109" s="137"/>
      <c r="AP109" s="137"/>
      <c r="AQ109" s="137"/>
      <c r="AR109" s="137"/>
      <c r="AS109" s="137"/>
      <c r="AT109" s="137"/>
      <c r="AU109" s="137"/>
      <c r="AV109" s="10"/>
    </row>
    <row r="110" spans="2:48" x14ac:dyDescent="0.2">
      <c r="B110" s="10"/>
      <c r="C110" s="137"/>
      <c r="D110" s="137"/>
      <c r="E110" s="149" t="s">
        <v>92</v>
      </c>
      <c r="F110" s="495">
        <f>'Budget Period 1'!F110</f>
        <v>0</v>
      </c>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7"/>
      <c r="AK110" s="458"/>
      <c r="AL110" s="458"/>
      <c r="AM110" s="458"/>
      <c r="AN110" s="459"/>
      <c r="AO110" s="137"/>
      <c r="AP110" s="137"/>
      <c r="AQ110" s="137"/>
      <c r="AR110" s="137"/>
      <c r="AS110" s="137"/>
      <c r="AT110" s="137"/>
      <c r="AU110" s="137"/>
      <c r="AV110" s="10"/>
    </row>
    <row r="111" spans="2:48" x14ac:dyDescent="0.2">
      <c r="B111" s="10"/>
      <c r="C111" s="137"/>
      <c r="D111" s="137"/>
      <c r="E111" s="149" t="s">
        <v>93</v>
      </c>
      <c r="F111" s="495">
        <f>'Budget Period 1'!F111</f>
        <v>0</v>
      </c>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496"/>
      <c r="AE111" s="496"/>
      <c r="AF111" s="496"/>
      <c r="AG111" s="496"/>
      <c r="AH111" s="496"/>
      <c r="AI111" s="496"/>
      <c r="AJ111" s="497"/>
      <c r="AK111" s="458"/>
      <c r="AL111" s="458"/>
      <c r="AM111" s="458"/>
      <c r="AN111" s="459"/>
      <c r="AO111" s="137"/>
      <c r="AP111" s="137"/>
      <c r="AQ111" s="137"/>
      <c r="AR111" s="137"/>
      <c r="AS111" s="137"/>
      <c r="AT111" s="137"/>
      <c r="AU111" s="137"/>
      <c r="AV111" s="10"/>
    </row>
    <row r="112" spans="2:48" x14ac:dyDescent="0.2">
      <c r="B112" s="10"/>
      <c r="C112" s="137"/>
      <c r="D112" s="137"/>
      <c r="E112" s="149" t="s">
        <v>94</v>
      </c>
      <c r="F112" s="495">
        <f>'Budget Period 1'!F112</f>
        <v>0</v>
      </c>
      <c r="G112" s="496"/>
      <c r="H112" s="496"/>
      <c r="I112" s="496"/>
      <c r="J112" s="496"/>
      <c r="K112" s="496"/>
      <c r="L112" s="496"/>
      <c r="M112" s="496"/>
      <c r="N112" s="496"/>
      <c r="O112" s="496"/>
      <c r="P112" s="496"/>
      <c r="Q112" s="496"/>
      <c r="R112" s="496"/>
      <c r="S112" s="496"/>
      <c r="T112" s="496"/>
      <c r="U112" s="496"/>
      <c r="V112" s="496"/>
      <c r="W112" s="496"/>
      <c r="X112" s="496"/>
      <c r="Y112" s="496"/>
      <c r="Z112" s="496"/>
      <c r="AA112" s="496"/>
      <c r="AB112" s="496"/>
      <c r="AC112" s="496"/>
      <c r="AD112" s="496"/>
      <c r="AE112" s="496"/>
      <c r="AF112" s="496"/>
      <c r="AG112" s="496"/>
      <c r="AH112" s="496"/>
      <c r="AI112" s="496"/>
      <c r="AJ112" s="497"/>
      <c r="AK112" s="458"/>
      <c r="AL112" s="458"/>
      <c r="AM112" s="458"/>
      <c r="AN112" s="459"/>
      <c r="AO112" s="137"/>
      <c r="AP112" s="137"/>
      <c r="AQ112" s="137"/>
      <c r="AR112" s="137"/>
      <c r="AS112" s="137"/>
      <c r="AT112" s="137"/>
      <c r="AU112" s="137"/>
      <c r="AV112" s="10"/>
    </row>
    <row r="113" spans="2:48" ht="13.5" thickBot="1" x14ac:dyDescent="0.25">
      <c r="B113" s="10"/>
      <c r="C113" s="137"/>
      <c r="D113" s="137"/>
      <c r="E113" s="149" t="s">
        <v>95</v>
      </c>
      <c r="F113" s="759">
        <f>'Budget Period 1'!F113</f>
        <v>0</v>
      </c>
      <c r="G113" s="760"/>
      <c r="H113" s="760"/>
      <c r="I113" s="760"/>
      <c r="J113" s="760"/>
      <c r="K113" s="760"/>
      <c r="L113" s="760"/>
      <c r="M113" s="760"/>
      <c r="N113" s="760"/>
      <c r="O113" s="760"/>
      <c r="P113" s="760"/>
      <c r="Q113" s="760"/>
      <c r="R113" s="760"/>
      <c r="S113" s="760"/>
      <c r="T113" s="760"/>
      <c r="U113" s="760"/>
      <c r="V113" s="760"/>
      <c r="W113" s="760"/>
      <c r="X113" s="760"/>
      <c r="Y113" s="760"/>
      <c r="Z113" s="760"/>
      <c r="AA113" s="760"/>
      <c r="AB113" s="760"/>
      <c r="AC113" s="760"/>
      <c r="AD113" s="760"/>
      <c r="AE113" s="760"/>
      <c r="AF113" s="760"/>
      <c r="AG113" s="760"/>
      <c r="AH113" s="760"/>
      <c r="AI113" s="760"/>
      <c r="AJ113" s="391"/>
      <c r="AK113" s="462"/>
      <c r="AL113" s="462"/>
      <c r="AM113" s="462"/>
      <c r="AN113" s="463"/>
      <c r="AO113" s="137"/>
      <c r="AP113" s="137"/>
      <c r="AQ113" s="137"/>
      <c r="AR113" s="137"/>
      <c r="AS113" s="137"/>
      <c r="AT113" s="137"/>
      <c r="AU113" s="137"/>
      <c r="AV113" s="10"/>
    </row>
    <row r="114" spans="2:48" x14ac:dyDescent="0.2">
      <c r="B114" s="10"/>
      <c r="C114" s="137"/>
      <c r="D114" s="137"/>
      <c r="E114" s="137"/>
      <c r="F114" s="137" t="s">
        <v>206</v>
      </c>
      <c r="G114" s="137"/>
      <c r="H114" s="137"/>
      <c r="I114" s="137"/>
      <c r="J114" s="137"/>
      <c r="K114" s="137"/>
      <c r="L114" s="137"/>
      <c r="M114" s="13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37"/>
      <c r="AP114" s="834">
        <f>SUM(AK103:AN107,AK109:AN113)</f>
        <v>0</v>
      </c>
      <c r="AQ114" s="835"/>
      <c r="AR114" s="835"/>
      <c r="AS114" s="835"/>
      <c r="AT114" s="836"/>
      <c r="AU114" s="137"/>
      <c r="AV114" s="10"/>
    </row>
    <row r="115" spans="2:48" ht="13.5" thickBot="1" x14ac:dyDescent="0.25">
      <c r="B115" s="10"/>
      <c r="C115" s="137"/>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0"/>
    </row>
    <row r="116" spans="2:48" ht="13.5" thickBot="1" x14ac:dyDescent="0.25">
      <c r="B116" s="10"/>
      <c r="C116" s="137"/>
      <c r="D116" s="137"/>
      <c r="E116" s="137"/>
      <c r="F116" s="510" t="s">
        <v>147</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484" t="s">
        <v>139</v>
      </c>
      <c r="AL116" s="485"/>
      <c r="AM116" s="485"/>
      <c r="AN116" s="486"/>
      <c r="AO116" s="137"/>
      <c r="AP116" s="137"/>
      <c r="AQ116" s="137"/>
      <c r="AR116" s="137"/>
      <c r="AS116" s="137"/>
      <c r="AT116" s="137"/>
      <c r="AU116" s="137"/>
      <c r="AV116" s="10"/>
    </row>
    <row r="117" spans="2:48" x14ac:dyDescent="0.2">
      <c r="B117" s="10"/>
      <c r="C117" s="137"/>
      <c r="D117" s="137"/>
      <c r="E117" s="149" t="s">
        <v>91</v>
      </c>
      <c r="F117" s="548" t="s">
        <v>148</v>
      </c>
      <c r="G117" s="549"/>
      <c r="H117" s="549"/>
      <c r="I117" s="549"/>
      <c r="J117" s="549"/>
      <c r="K117" s="549"/>
      <c r="L117" s="549"/>
      <c r="M117" s="550"/>
      <c r="N117" s="550"/>
      <c r="O117" s="550"/>
      <c r="P117" s="550"/>
      <c r="Q117" s="550"/>
      <c r="R117" s="550"/>
      <c r="S117" s="550"/>
      <c r="T117" s="550"/>
      <c r="U117" s="550"/>
      <c r="V117" s="550"/>
      <c r="W117" s="550"/>
      <c r="X117" s="550"/>
      <c r="Y117" s="550"/>
      <c r="Z117" s="550"/>
      <c r="AA117" s="550"/>
      <c r="AB117" s="550"/>
      <c r="AC117" s="550"/>
      <c r="AD117" s="550"/>
      <c r="AE117" s="550"/>
      <c r="AF117" s="550"/>
      <c r="AG117" s="550"/>
      <c r="AH117" s="550"/>
      <c r="AI117" s="550"/>
      <c r="AJ117" s="550"/>
      <c r="AK117" s="487"/>
      <c r="AL117" s="487"/>
      <c r="AM117" s="487"/>
      <c r="AN117" s="488"/>
      <c r="AO117" s="137"/>
      <c r="AP117" s="137"/>
      <c r="AQ117" s="137"/>
      <c r="AR117" s="137"/>
      <c r="AS117" s="137"/>
      <c r="AT117" s="137"/>
      <c r="AU117" s="137"/>
      <c r="AV117" s="10"/>
    </row>
    <row r="118" spans="2:48" x14ac:dyDescent="0.2">
      <c r="B118" s="10"/>
      <c r="C118" s="137"/>
      <c r="D118" s="137"/>
      <c r="E118" s="149" t="s">
        <v>92</v>
      </c>
      <c r="F118" s="546" t="s">
        <v>149</v>
      </c>
      <c r="G118" s="547"/>
      <c r="H118" s="547"/>
      <c r="I118" s="547"/>
      <c r="J118" s="547"/>
      <c r="K118" s="547"/>
      <c r="L118" s="547"/>
      <c r="M118" s="461"/>
      <c r="N118" s="461"/>
      <c r="O118" s="461"/>
      <c r="P118" s="461"/>
      <c r="Q118" s="461"/>
      <c r="R118" s="461"/>
      <c r="S118" s="461"/>
      <c r="T118" s="461"/>
      <c r="U118" s="461"/>
      <c r="V118" s="461"/>
      <c r="W118" s="461"/>
      <c r="X118" s="461"/>
      <c r="Y118" s="461"/>
      <c r="Z118" s="461"/>
      <c r="AA118" s="461"/>
      <c r="AB118" s="461"/>
      <c r="AC118" s="461"/>
      <c r="AD118" s="461"/>
      <c r="AE118" s="461"/>
      <c r="AF118" s="461"/>
      <c r="AG118" s="461"/>
      <c r="AH118" s="461"/>
      <c r="AI118" s="461"/>
      <c r="AJ118" s="461"/>
      <c r="AK118" s="458"/>
      <c r="AL118" s="458"/>
      <c r="AM118" s="458"/>
      <c r="AN118" s="459"/>
      <c r="AO118" s="137"/>
      <c r="AP118" s="137"/>
      <c r="AQ118" s="137"/>
      <c r="AR118" s="137"/>
      <c r="AS118" s="137"/>
      <c r="AT118" s="137"/>
      <c r="AU118" s="137"/>
      <c r="AV118" s="10"/>
    </row>
    <row r="119" spans="2:48" x14ac:dyDescent="0.2">
      <c r="B119" s="10"/>
      <c r="C119" s="137"/>
      <c r="D119" s="137"/>
      <c r="E119" s="149" t="s">
        <v>93</v>
      </c>
      <c r="F119" s="562" t="s">
        <v>150</v>
      </c>
      <c r="G119" s="395"/>
      <c r="H119" s="395"/>
      <c r="I119" s="395"/>
      <c r="J119" s="395"/>
      <c r="K119" s="395"/>
      <c r="L119" s="396"/>
      <c r="M119" s="461"/>
      <c r="N119" s="461"/>
      <c r="O119" s="461"/>
      <c r="P119" s="461"/>
      <c r="Q119" s="461"/>
      <c r="R119" s="461"/>
      <c r="S119" s="461"/>
      <c r="T119" s="461"/>
      <c r="U119" s="461"/>
      <c r="V119" s="461"/>
      <c r="W119" s="461"/>
      <c r="X119" s="461"/>
      <c r="Y119" s="461"/>
      <c r="Z119" s="461"/>
      <c r="AA119" s="461"/>
      <c r="AB119" s="461"/>
      <c r="AC119" s="461"/>
      <c r="AD119" s="461"/>
      <c r="AE119" s="461"/>
      <c r="AF119" s="461"/>
      <c r="AG119" s="461"/>
      <c r="AH119" s="461"/>
      <c r="AI119" s="461"/>
      <c r="AJ119" s="461"/>
      <c r="AK119" s="458"/>
      <c r="AL119" s="458"/>
      <c r="AM119" s="458"/>
      <c r="AN119" s="459"/>
      <c r="AO119" s="137"/>
      <c r="AP119" s="137"/>
      <c r="AQ119" s="137"/>
      <c r="AR119" s="137"/>
      <c r="AS119" s="137"/>
      <c r="AT119" s="137"/>
      <c r="AU119" s="137"/>
      <c r="AV119" s="10"/>
    </row>
    <row r="120" spans="2:48" x14ac:dyDescent="0.2">
      <c r="B120" s="10"/>
      <c r="C120" s="137"/>
      <c r="D120" s="137"/>
      <c r="E120" s="149" t="s">
        <v>94</v>
      </c>
      <c r="F120" s="563"/>
      <c r="G120" s="564"/>
      <c r="H120" s="564"/>
      <c r="I120" s="564"/>
      <c r="J120" s="564"/>
      <c r="K120" s="564"/>
      <c r="L120" s="565"/>
      <c r="M120" s="461"/>
      <c r="N120" s="461"/>
      <c r="O120" s="461"/>
      <c r="P120" s="461"/>
      <c r="Q120" s="461"/>
      <c r="R120" s="461"/>
      <c r="S120" s="461"/>
      <c r="T120" s="461"/>
      <c r="U120" s="461"/>
      <c r="V120" s="461"/>
      <c r="W120" s="461"/>
      <c r="X120" s="461"/>
      <c r="Y120" s="461"/>
      <c r="Z120" s="461"/>
      <c r="AA120" s="461"/>
      <c r="AB120" s="461"/>
      <c r="AC120" s="461"/>
      <c r="AD120" s="461"/>
      <c r="AE120" s="461"/>
      <c r="AF120" s="461"/>
      <c r="AG120" s="461"/>
      <c r="AH120" s="461"/>
      <c r="AI120" s="461"/>
      <c r="AJ120" s="461"/>
      <c r="AK120" s="458"/>
      <c r="AL120" s="458"/>
      <c r="AM120" s="458"/>
      <c r="AN120" s="459"/>
      <c r="AO120" s="137"/>
      <c r="AP120" s="137"/>
      <c r="AQ120" s="137"/>
      <c r="AR120" s="137"/>
      <c r="AS120" s="137"/>
      <c r="AT120" s="137"/>
      <c r="AU120" s="137"/>
      <c r="AV120" s="10"/>
    </row>
    <row r="121" spans="2:48" x14ac:dyDescent="0.2">
      <c r="B121" s="10"/>
      <c r="C121" s="137"/>
      <c r="D121" s="137"/>
      <c r="E121" s="149" t="s">
        <v>95</v>
      </c>
      <c r="F121" s="563"/>
      <c r="G121" s="564"/>
      <c r="H121" s="564"/>
      <c r="I121" s="564"/>
      <c r="J121" s="564"/>
      <c r="K121" s="564"/>
      <c r="L121" s="565"/>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461"/>
      <c r="AK121" s="458"/>
      <c r="AL121" s="458"/>
      <c r="AM121" s="458"/>
      <c r="AN121" s="459"/>
      <c r="AO121" s="137"/>
      <c r="AP121" s="137"/>
      <c r="AQ121" s="137"/>
      <c r="AR121" s="137"/>
      <c r="AS121" s="137"/>
      <c r="AT121" s="137"/>
      <c r="AU121" s="137"/>
      <c r="AV121" s="10"/>
    </row>
    <row r="122" spans="2:48" x14ac:dyDescent="0.2">
      <c r="B122" s="10"/>
      <c r="C122" s="137"/>
      <c r="D122" s="137"/>
      <c r="E122" s="149" t="s">
        <v>96</v>
      </c>
      <c r="F122" s="566"/>
      <c r="G122" s="567"/>
      <c r="H122" s="567"/>
      <c r="I122" s="567"/>
      <c r="J122" s="567"/>
      <c r="K122" s="567"/>
      <c r="L122" s="568"/>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58"/>
      <c r="AL122" s="458"/>
      <c r="AM122" s="458"/>
      <c r="AN122" s="459"/>
      <c r="AO122" s="137"/>
      <c r="AP122" s="137"/>
      <c r="AQ122" s="137"/>
      <c r="AR122" s="137"/>
      <c r="AS122" s="137"/>
      <c r="AT122" s="137"/>
      <c r="AU122" s="137"/>
      <c r="AV122" s="10"/>
    </row>
    <row r="123" spans="2:48" x14ac:dyDescent="0.2">
      <c r="B123" s="10"/>
      <c r="C123" s="137"/>
      <c r="D123" s="137"/>
      <c r="E123" s="149" t="s">
        <v>97</v>
      </c>
      <c r="F123" s="546" t="s">
        <v>151</v>
      </c>
      <c r="G123" s="547"/>
      <c r="H123" s="547"/>
      <c r="I123" s="547"/>
      <c r="J123" s="547"/>
      <c r="K123" s="547"/>
      <c r="L123" s="547"/>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461"/>
      <c r="AK123" s="458"/>
      <c r="AL123" s="458"/>
      <c r="AM123" s="458"/>
      <c r="AN123" s="459"/>
      <c r="AO123" s="137"/>
      <c r="AP123" s="137"/>
      <c r="AQ123" s="137"/>
      <c r="AR123" s="137"/>
      <c r="AS123" s="137"/>
      <c r="AT123" s="137"/>
      <c r="AU123" s="137"/>
      <c r="AV123" s="10"/>
    </row>
    <row r="124" spans="2:48" x14ac:dyDescent="0.2">
      <c r="B124" s="10"/>
      <c r="C124" s="137"/>
      <c r="D124" s="137"/>
      <c r="E124" s="149" t="s">
        <v>98</v>
      </c>
      <c r="F124" s="546" t="s">
        <v>16</v>
      </c>
      <c r="G124" s="547"/>
      <c r="H124" s="547"/>
      <c r="I124" s="547"/>
      <c r="J124" s="547"/>
      <c r="K124" s="547"/>
      <c r="L124" s="547"/>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461"/>
      <c r="AK124" s="458"/>
      <c r="AL124" s="458"/>
      <c r="AM124" s="458"/>
      <c r="AN124" s="459"/>
      <c r="AO124" s="137"/>
      <c r="AP124" s="137"/>
      <c r="AQ124" s="137"/>
      <c r="AR124" s="137"/>
      <c r="AS124" s="137"/>
      <c r="AT124" s="137"/>
      <c r="AU124" s="137"/>
      <c r="AV124" s="10"/>
    </row>
    <row r="125" spans="2:48" x14ac:dyDescent="0.2">
      <c r="B125" s="10"/>
      <c r="C125" s="137"/>
      <c r="D125" s="137"/>
      <c r="E125" s="149" t="s">
        <v>99</v>
      </c>
      <c r="F125" s="551" t="s">
        <v>152</v>
      </c>
      <c r="G125" s="552"/>
      <c r="H125" s="552"/>
      <c r="I125" s="552"/>
      <c r="J125" s="552"/>
      <c r="K125" s="552"/>
      <c r="L125" s="552"/>
      <c r="M125" s="547" t="s">
        <v>238</v>
      </c>
      <c r="N125" s="547"/>
      <c r="O125" s="547"/>
      <c r="P125" s="547"/>
      <c r="Q125" s="547"/>
      <c r="R125" s="547"/>
      <c r="S125" s="547"/>
      <c r="T125" s="547"/>
      <c r="U125" s="547"/>
      <c r="V125" s="547"/>
      <c r="W125" s="547"/>
      <c r="X125" s="547"/>
      <c r="Y125" s="547"/>
      <c r="Z125" s="547"/>
      <c r="AA125" s="547"/>
      <c r="AB125" s="547"/>
      <c r="AC125" s="547"/>
      <c r="AD125" s="547"/>
      <c r="AE125" s="547"/>
      <c r="AF125" s="547"/>
      <c r="AG125" s="547"/>
      <c r="AH125" s="547"/>
      <c r="AI125" s="547"/>
      <c r="AJ125" s="547"/>
      <c r="AK125" s="844">
        <f>Result_Tuition_Y6</f>
        <v>0</v>
      </c>
      <c r="AL125" s="844"/>
      <c r="AM125" s="844"/>
      <c r="AN125" s="845"/>
      <c r="AO125" s="137"/>
      <c r="AP125" s="137"/>
      <c r="AQ125" s="137"/>
      <c r="AR125" s="137"/>
      <c r="AS125" s="137"/>
      <c r="AT125" s="137"/>
      <c r="AU125" s="137"/>
      <c r="AV125" s="10"/>
    </row>
    <row r="126" spans="2:48" x14ac:dyDescent="0.2">
      <c r="B126" s="10"/>
      <c r="C126" s="137"/>
      <c r="D126" s="137"/>
      <c r="E126" s="149" t="s">
        <v>141</v>
      </c>
      <c r="F126" s="551" t="s">
        <v>334</v>
      </c>
      <c r="G126" s="552"/>
      <c r="H126" s="552"/>
      <c r="I126" s="552"/>
      <c r="J126" s="552"/>
      <c r="K126" s="552"/>
      <c r="L126" s="552"/>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461"/>
      <c r="AK126" s="458"/>
      <c r="AL126" s="458"/>
      <c r="AM126" s="458"/>
      <c r="AN126" s="459"/>
      <c r="AO126" s="137"/>
      <c r="AP126" s="137"/>
      <c r="AQ126" s="137"/>
      <c r="AR126" s="137"/>
      <c r="AS126" s="137"/>
      <c r="AT126" s="137"/>
      <c r="AU126" s="137"/>
      <c r="AV126" s="10"/>
    </row>
    <row r="127" spans="2:48" x14ac:dyDescent="0.2">
      <c r="B127" s="10"/>
      <c r="C127" s="137"/>
      <c r="D127" s="137"/>
      <c r="E127" s="149" t="s">
        <v>100</v>
      </c>
      <c r="F127" s="553" t="s">
        <v>335</v>
      </c>
      <c r="G127" s="554"/>
      <c r="H127" s="554"/>
      <c r="I127" s="554"/>
      <c r="J127" s="554"/>
      <c r="K127" s="554"/>
      <c r="L127" s="555"/>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58"/>
      <c r="AL127" s="458"/>
      <c r="AM127" s="458"/>
      <c r="AN127" s="459"/>
      <c r="AO127" s="137"/>
      <c r="AP127" s="137"/>
      <c r="AQ127" s="137"/>
      <c r="AR127" s="137"/>
      <c r="AS127" s="137"/>
      <c r="AT127" s="137"/>
      <c r="AU127" s="137"/>
      <c r="AV127" s="10"/>
    </row>
    <row r="128" spans="2:48" x14ac:dyDescent="0.2">
      <c r="B128" s="10"/>
      <c r="C128" s="137"/>
      <c r="D128" s="137"/>
      <c r="E128" s="149" t="s">
        <v>101</v>
      </c>
      <c r="F128" s="556"/>
      <c r="G128" s="557"/>
      <c r="H128" s="557"/>
      <c r="I128" s="557"/>
      <c r="J128" s="557"/>
      <c r="K128" s="557"/>
      <c r="L128" s="558"/>
      <c r="M128" s="461"/>
      <c r="N128" s="461"/>
      <c r="O128" s="461"/>
      <c r="P128" s="461"/>
      <c r="Q128" s="461"/>
      <c r="R128" s="461"/>
      <c r="S128" s="461"/>
      <c r="T128" s="461"/>
      <c r="U128" s="461"/>
      <c r="V128" s="461"/>
      <c r="W128" s="461"/>
      <c r="X128" s="461"/>
      <c r="Y128" s="461"/>
      <c r="Z128" s="461"/>
      <c r="AA128" s="461"/>
      <c r="AB128" s="461"/>
      <c r="AC128" s="461"/>
      <c r="AD128" s="461"/>
      <c r="AE128" s="461"/>
      <c r="AF128" s="461"/>
      <c r="AG128" s="461"/>
      <c r="AH128" s="461"/>
      <c r="AI128" s="461"/>
      <c r="AJ128" s="461"/>
      <c r="AK128" s="458"/>
      <c r="AL128" s="458"/>
      <c r="AM128" s="458"/>
      <c r="AN128" s="459"/>
      <c r="AO128" s="137"/>
      <c r="AP128" s="137"/>
      <c r="AQ128" s="137"/>
      <c r="AR128" s="137"/>
      <c r="AS128" s="137"/>
      <c r="AT128" s="137"/>
      <c r="AU128" s="137"/>
      <c r="AV128" s="10"/>
    </row>
    <row r="129" spans="2:48" ht="13.5" thickBot="1" x14ac:dyDescent="0.25">
      <c r="B129" s="10"/>
      <c r="C129" s="137"/>
      <c r="D129" s="137"/>
      <c r="E129" s="149" t="s">
        <v>102</v>
      </c>
      <c r="F129" s="559"/>
      <c r="G129" s="560"/>
      <c r="H129" s="560"/>
      <c r="I129" s="560"/>
      <c r="J129" s="560"/>
      <c r="K129" s="560"/>
      <c r="L129" s="561"/>
      <c r="M129" s="474"/>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9"/>
      <c r="AK129" s="462"/>
      <c r="AL129" s="462"/>
      <c r="AM129" s="462"/>
      <c r="AN129" s="463"/>
      <c r="AO129" s="137"/>
      <c r="AP129" s="137"/>
      <c r="AQ129" s="137"/>
      <c r="AR129" s="137"/>
      <c r="AS129" s="137"/>
      <c r="AT129" s="137"/>
      <c r="AU129" s="137"/>
      <c r="AV129" s="10"/>
    </row>
    <row r="130" spans="2:48" x14ac:dyDescent="0.2">
      <c r="B130" s="10"/>
      <c r="C130" s="137"/>
      <c r="D130" s="137"/>
      <c r="E130" s="137"/>
      <c r="F130" s="137" t="s">
        <v>153</v>
      </c>
      <c r="G130" s="137"/>
      <c r="H130" s="137"/>
      <c r="I130" s="137"/>
      <c r="J130" s="137"/>
      <c r="K130" s="137"/>
      <c r="L130" s="137"/>
      <c r="M130" s="13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37"/>
      <c r="AP130" s="834">
        <f>SUM(AK117:AN129)</f>
        <v>0</v>
      </c>
      <c r="AQ130" s="835"/>
      <c r="AR130" s="835"/>
      <c r="AS130" s="835"/>
      <c r="AT130" s="836"/>
      <c r="AU130" s="137"/>
      <c r="AV130" s="10"/>
    </row>
    <row r="131" spans="2:48" x14ac:dyDescent="0.2">
      <c r="B131" s="10"/>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0"/>
    </row>
    <row r="132" spans="2:48" x14ac:dyDescent="0.2">
      <c r="B132" s="10"/>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0"/>
    </row>
    <row r="133" spans="2:48" x14ac:dyDescent="0.2">
      <c r="B133" s="10"/>
      <c r="C133" s="137"/>
      <c r="D133" s="137"/>
      <c r="E133" s="137"/>
      <c r="F133" s="137"/>
      <c r="G133" s="137"/>
      <c r="H133" s="137"/>
      <c r="I133" s="137"/>
      <c r="J133" s="137"/>
      <c r="K133" s="137"/>
      <c r="L133" s="137"/>
      <c r="M133" s="137"/>
      <c r="N133" s="137"/>
      <c r="O133" s="542" t="s">
        <v>155</v>
      </c>
      <c r="P133" s="542"/>
      <c r="Q133" s="542"/>
      <c r="R133" s="542"/>
      <c r="S133" s="137"/>
      <c r="T133" s="542" t="s">
        <v>90</v>
      </c>
      <c r="U133" s="542"/>
      <c r="V133" s="542"/>
      <c r="W133" s="542"/>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0"/>
    </row>
    <row r="134" spans="2:48" x14ac:dyDescent="0.2">
      <c r="B134" s="10"/>
      <c r="C134" s="137"/>
      <c r="D134" s="137"/>
      <c r="E134" s="137"/>
      <c r="F134" s="137" t="s">
        <v>154</v>
      </c>
      <c r="G134" s="137"/>
      <c r="H134" s="137"/>
      <c r="I134" s="137"/>
      <c r="J134" s="137"/>
      <c r="K134" s="137"/>
      <c r="L134" s="137"/>
      <c r="M134" s="137"/>
      <c r="N134" s="137"/>
      <c r="O134" s="841">
        <f>SUM(AI32,AI42,AI52)</f>
        <v>0</v>
      </c>
      <c r="P134" s="842"/>
      <c r="Q134" s="842"/>
      <c r="R134" s="843"/>
      <c r="S134" s="137"/>
      <c r="T134" s="841">
        <f>SUM(AO32,AO42,AO52)</f>
        <v>0</v>
      </c>
      <c r="U134" s="842"/>
      <c r="V134" s="842"/>
      <c r="W134" s="843"/>
      <c r="X134" s="137"/>
      <c r="Y134" s="137"/>
      <c r="Z134" s="137"/>
      <c r="AA134" s="137"/>
      <c r="AB134" s="137"/>
      <c r="AC134" s="137"/>
      <c r="AD134" s="137"/>
      <c r="AE134" s="137"/>
      <c r="AF134" s="137"/>
      <c r="AG134" s="137"/>
      <c r="AH134" s="137"/>
      <c r="AI134" s="137"/>
      <c r="AJ134" s="137"/>
      <c r="AK134" s="137"/>
      <c r="AL134" s="137"/>
      <c r="AM134" s="137"/>
      <c r="AN134" s="137"/>
      <c r="AO134" s="137"/>
      <c r="AP134" s="834">
        <f>SUM(O134,T134)</f>
        <v>0</v>
      </c>
      <c r="AQ134" s="835"/>
      <c r="AR134" s="835"/>
      <c r="AS134" s="835"/>
      <c r="AT134" s="836"/>
      <c r="AU134" s="137"/>
      <c r="AV134" s="10"/>
    </row>
    <row r="135" spans="2:48" x14ac:dyDescent="0.2">
      <c r="B135" s="10"/>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0"/>
    </row>
    <row r="136" spans="2:48" x14ac:dyDescent="0.2">
      <c r="B136" s="10"/>
      <c r="C136" s="137"/>
      <c r="D136" s="137"/>
      <c r="E136" s="137"/>
      <c r="F136" s="137"/>
      <c r="G136" s="137"/>
      <c r="H136" s="137"/>
      <c r="I136" s="137"/>
      <c r="J136" s="137"/>
      <c r="K136" s="137"/>
      <c r="L136" s="137"/>
      <c r="M136" s="137"/>
      <c r="N136" s="137"/>
      <c r="O136" s="542" t="s">
        <v>138</v>
      </c>
      <c r="P136" s="542"/>
      <c r="Q136" s="542"/>
      <c r="R136" s="542"/>
      <c r="S136" s="137"/>
      <c r="T136" s="542" t="s">
        <v>157</v>
      </c>
      <c r="U136" s="542"/>
      <c r="V136" s="542"/>
      <c r="W136" s="542"/>
      <c r="X136" s="137"/>
      <c r="Y136" s="542" t="s">
        <v>158</v>
      </c>
      <c r="Z136" s="542"/>
      <c r="AA136" s="542"/>
      <c r="AB136" s="542"/>
      <c r="AC136" s="137"/>
      <c r="AD136" s="542" t="s">
        <v>171</v>
      </c>
      <c r="AE136" s="542"/>
      <c r="AF136" s="542"/>
      <c r="AG136" s="542"/>
      <c r="AH136" s="137"/>
      <c r="AI136" s="542" t="s">
        <v>159</v>
      </c>
      <c r="AJ136" s="542"/>
      <c r="AK136" s="542"/>
      <c r="AL136" s="542"/>
      <c r="AM136" s="137"/>
      <c r="AN136" s="137"/>
      <c r="AO136" s="137"/>
      <c r="AP136" s="137"/>
      <c r="AQ136" s="137"/>
      <c r="AR136" s="137"/>
      <c r="AS136" s="137"/>
      <c r="AT136" s="137"/>
      <c r="AU136" s="137"/>
      <c r="AV136" s="10"/>
    </row>
    <row r="137" spans="2:48" x14ac:dyDescent="0.2">
      <c r="B137" s="10"/>
      <c r="C137" s="137"/>
      <c r="D137" s="137"/>
      <c r="E137" s="137"/>
      <c r="F137" s="137" t="s">
        <v>156</v>
      </c>
      <c r="G137" s="137"/>
      <c r="H137" s="137"/>
      <c r="I137" s="137"/>
      <c r="J137" s="137"/>
      <c r="K137" s="137"/>
      <c r="L137" s="137"/>
      <c r="M137" s="137"/>
      <c r="N137" s="137"/>
      <c r="O137" s="837">
        <f>Result_EquipmentCost_Y6</f>
        <v>0</v>
      </c>
      <c r="P137" s="838"/>
      <c r="Q137" s="838"/>
      <c r="R137" s="839"/>
      <c r="S137" s="137"/>
      <c r="T137" s="837">
        <f>SUM(Result_TravelDomestic_Y6,Result_TravelForeign_Y6)</f>
        <v>0</v>
      </c>
      <c r="U137" s="838"/>
      <c r="V137" s="838"/>
      <c r="W137" s="839"/>
      <c r="X137" s="137"/>
      <c r="Y137" s="837">
        <f>Result_ParticipantCosts_Y6</f>
        <v>0</v>
      </c>
      <c r="Z137" s="838"/>
      <c r="AA137" s="838"/>
      <c r="AB137" s="839"/>
      <c r="AC137" s="137"/>
      <c r="AD137" s="837">
        <f>Result_SubawardCosts_Y6</f>
        <v>0</v>
      </c>
      <c r="AE137" s="838"/>
      <c r="AF137" s="838"/>
      <c r="AG137" s="839"/>
      <c r="AH137" s="137"/>
      <c r="AI137" s="837">
        <f>Result_OtherDirectCosts_Y6</f>
        <v>0</v>
      </c>
      <c r="AJ137" s="838"/>
      <c r="AK137" s="838"/>
      <c r="AL137" s="839"/>
      <c r="AM137" s="137"/>
      <c r="AN137" s="137"/>
      <c r="AO137" s="137"/>
      <c r="AP137" s="834">
        <f>SUM(O137,T137,Y137,AD137,AI137)</f>
        <v>0</v>
      </c>
      <c r="AQ137" s="835"/>
      <c r="AR137" s="835"/>
      <c r="AS137" s="835"/>
      <c r="AT137" s="836"/>
      <c r="AU137" s="137"/>
      <c r="AV137" s="10"/>
    </row>
    <row r="138" spans="2:48" x14ac:dyDescent="0.2">
      <c r="B138" s="10"/>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0"/>
    </row>
    <row r="139" spans="2:48" x14ac:dyDescent="0.2">
      <c r="B139" s="10"/>
      <c r="C139" s="137"/>
      <c r="D139" s="137"/>
      <c r="E139" s="137"/>
      <c r="F139" s="137" t="s">
        <v>161</v>
      </c>
      <c r="G139" s="137"/>
      <c r="H139" s="137"/>
      <c r="I139" s="137"/>
      <c r="J139" s="137"/>
      <c r="K139" s="137"/>
      <c r="L139" s="156"/>
      <c r="M139" s="156"/>
      <c r="N139" s="156"/>
      <c r="O139" s="156"/>
      <c r="P139" s="156"/>
      <c r="Q139" s="156"/>
      <c r="R139" s="156"/>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37"/>
      <c r="AP139" s="834">
        <f>SUM(Result_PersonnelCosts_Y6,Result_EquipmentCost_Y6,Result_TravelTotal_Y6,Result_ParticipantCosts_Y6,Result_SubawardCosts_Y6,Result_OtherDirectCosts_Y6)</f>
        <v>0</v>
      </c>
      <c r="AQ139" s="835"/>
      <c r="AR139" s="835"/>
      <c r="AS139" s="835"/>
      <c r="AT139" s="836"/>
      <c r="AU139" s="137"/>
      <c r="AV139" s="10"/>
    </row>
    <row r="140" spans="2:48" x14ac:dyDescent="0.2">
      <c r="B140" s="10"/>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840">
        <f>Result_TotalDirectCosts_Y6 - Result_SubawardCosts_UW_Y6 - IF(Data_Exclude_SalariesWages, Result_SalariesWages_Y6, 0) - IF(Data_Exclude_Fringes, Result_FringeBenefits_Y6, 0) - IF(Data_Exclude_Tuition, Result_TuitionTOTAL_Y6, 0) - IF(Data_Exclude_Equipment, Result_EquipmentCost_Y6, 0) - IF(Data_Exclude_Travel, Result_TravelTotal_Y6, 0) - IF(Data_Exclude_ParticipantCosts, Result_ParticipantCosts_Y6, 0) - IF(Data_Exclude_NonUWSubawards, Result_SubawardCosts_NonUW_Y6, IF(Data_Exclude_NonUWSubawardsExceeding25K, Result_SubawardCosts_NonUW_Y6 - Result_SubawardBase_Y6_TOTAL, 0)) - IF(Data_Exclude_OtherCosts, Result_OtherDirectCosts_Y6 - Result_TuitionTOTAL_Y6, 0)</f>
        <v>0</v>
      </c>
      <c r="AQ140" s="840"/>
      <c r="AR140" s="840"/>
      <c r="AS140" s="137"/>
      <c r="AT140" s="137"/>
      <c r="AU140" s="137"/>
      <c r="AV140" s="10"/>
    </row>
    <row r="141" spans="2:48" x14ac:dyDescent="0.2">
      <c r="B141" s="10"/>
      <c r="C141" s="137"/>
      <c r="D141" s="137"/>
      <c r="E141" s="137"/>
      <c r="F141" s="137" t="s">
        <v>208</v>
      </c>
      <c r="G141" s="137"/>
      <c r="H141" s="137"/>
      <c r="I141" s="137"/>
      <c r="J141" s="161"/>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37"/>
      <c r="AP141" s="834">
        <f>CHOOSE('Drop-Down_Options'!E14,0,Result_TotalDirectCosts_Y6 - Result_SubawardCosts_UW_Y6,(Result_TotalDirectCosts_Y6-Result_EquipmentCost_Y6-Result_ParticipantCosts_Y6-Result_TuitionTOTAL_Y6-(Result_SubawardCosts_Y6-Result_SubawardBase_Y6_TOTAL)),AP140)</f>
        <v>0</v>
      </c>
      <c r="AQ141" s="835"/>
      <c r="AR141" s="835"/>
      <c r="AS141" s="835"/>
      <c r="AT141" s="836"/>
      <c r="AU141" s="137"/>
      <c r="AV141" s="10"/>
    </row>
    <row r="142" spans="2:48" x14ac:dyDescent="0.2">
      <c r="B142" s="10"/>
      <c r="C142" s="137"/>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0"/>
    </row>
    <row r="143" spans="2:48" ht="12.75" customHeight="1" x14ac:dyDescent="0.2">
      <c r="B143" s="10"/>
      <c r="C143" s="137"/>
      <c r="D143" s="137"/>
      <c r="E143" s="137"/>
      <c r="F143" s="137" t="s">
        <v>209</v>
      </c>
      <c r="G143" s="137"/>
      <c r="H143" s="137"/>
      <c r="I143" s="137"/>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37"/>
      <c r="AP143" s="834">
        <f>AP141*FA_Rate_Y6</f>
        <v>0</v>
      </c>
      <c r="AQ143" s="835"/>
      <c r="AR143" s="835"/>
      <c r="AS143" s="835"/>
      <c r="AT143" s="836"/>
      <c r="AU143" s="137"/>
      <c r="AV143" s="10"/>
    </row>
    <row r="144" spans="2:48" ht="12.75" customHeight="1" x14ac:dyDescent="0.2">
      <c r="B144" s="10"/>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0"/>
    </row>
    <row r="145" spans="2:48" ht="12.75" customHeight="1" x14ac:dyDescent="0.2">
      <c r="B145" s="10"/>
      <c r="C145" s="137"/>
      <c r="D145" s="137"/>
      <c r="E145" s="137"/>
      <c r="F145" s="142" t="s">
        <v>341</v>
      </c>
      <c r="G145" s="137"/>
      <c r="H145" s="137"/>
      <c r="I145" s="137"/>
      <c r="J145" s="137"/>
      <c r="K145" s="137"/>
      <c r="L145" s="137"/>
      <c r="M145" s="137"/>
      <c r="N145" s="137"/>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37"/>
      <c r="AP145" s="834">
        <f>SUM(Result_TotalDirectCosts_Y6,Result_IndirectCosts_Y6)</f>
        <v>0</v>
      </c>
      <c r="AQ145" s="835"/>
      <c r="AR145" s="835"/>
      <c r="AS145" s="835"/>
      <c r="AT145" s="836"/>
      <c r="AU145" s="137"/>
      <c r="AV145" s="10"/>
    </row>
    <row r="146" spans="2:48" ht="12.75" customHeight="1" thickBot="1" x14ac:dyDescent="0.25">
      <c r="B146" s="10"/>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0"/>
    </row>
    <row r="147" spans="2:48" ht="5.0999999999999996" customHeight="1" thickBot="1" x14ac:dyDescent="0.25">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5"/>
    </row>
    <row r="150" spans="2:48" ht="30" x14ac:dyDescent="0.4">
      <c r="AB150" s="22"/>
    </row>
    <row r="151" spans="2:48" ht="12.75" customHeight="1" x14ac:dyDescent="0.4">
      <c r="U151" s="22"/>
    </row>
  </sheetData>
  <sheetProtection algorithmName="SHA-512" hashValue="hVgq/XBcWa0qnCK16hi/rSUJwrQUu8/9UfMEhfzMIbp5180S2242Vk8Y+mL8u9ddbkOg2jeMF5pwVtf7Uzf44w==" saltValue="9vVqJdK5LaucebPCiQcO4A==" spinCount="100000" sheet="1" selectLockedCells="1"/>
  <mergeCells count="516">
    <mergeCell ref="AB37:AD37"/>
    <mergeCell ref="AB38:AD38"/>
    <mergeCell ref="AB39:AD39"/>
    <mergeCell ref="AB40:AD40"/>
    <mergeCell ref="R8:AT9"/>
    <mergeCell ref="AM10:AN10"/>
    <mergeCell ref="AO10:AP10"/>
    <mergeCell ref="AD13:AF13"/>
    <mergeCell ref="AG13:AH13"/>
    <mergeCell ref="AI13:AL13"/>
    <mergeCell ref="AB12:AC12"/>
    <mergeCell ref="AD12:AF12"/>
    <mergeCell ref="AG12:AH12"/>
    <mergeCell ref="AI12:AL12"/>
    <mergeCell ref="AG11:AH11"/>
    <mergeCell ref="AI11:AL11"/>
    <mergeCell ref="AM13:AN13"/>
    <mergeCell ref="AO13:AP13"/>
    <mergeCell ref="O14:T14"/>
    <mergeCell ref="U14:X14"/>
    <mergeCell ref="AB14:AC14"/>
    <mergeCell ref="AD14:AF14"/>
    <mergeCell ref="AI14:AL14"/>
    <mergeCell ref="AM14:AN14"/>
    <mergeCell ref="F11:K11"/>
    <mergeCell ref="L11:N11"/>
    <mergeCell ref="AM12:AN12"/>
    <mergeCell ref="AO12:AP12"/>
    <mergeCell ref="C4:AU4"/>
    <mergeCell ref="F10:K10"/>
    <mergeCell ref="L10:N10"/>
    <mergeCell ref="O10:T10"/>
    <mergeCell ref="U10:X10"/>
    <mergeCell ref="Y10:AA10"/>
    <mergeCell ref="AB10:AC10"/>
    <mergeCell ref="AD10:AF10"/>
    <mergeCell ref="AG10:AH10"/>
    <mergeCell ref="AI10:AL10"/>
    <mergeCell ref="AG5:AT6"/>
    <mergeCell ref="V6:AF6"/>
    <mergeCell ref="O11:T11"/>
    <mergeCell ref="U11:X11"/>
    <mergeCell ref="AB11:AC11"/>
    <mergeCell ref="AD11:AF11"/>
    <mergeCell ref="AQ11:AT11"/>
    <mergeCell ref="AQ10:AT10"/>
    <mergeCell ref="AM11:AN11"/>
    <mergeCell ref="AO11:AP11"/>
    <mergeCell ref="AQ12:AT12"/>
    <mergeCell ref="F13:K13"/>
    <mergeCell ref="L13:N13"/>
    <mergeCell ref="O13:T13"/>
    <mergeCell ref="U13:X13"/>
    <mergeCell ref="AB13:AC13"/>
    <mergeCell ref="F12:K12"/>
    <mergeCell ref="L12:N12"/>
    <mergeCell ref="O12:T12"/>
    <mergeCell ref="U12:X12"/>
    <mergeCell ref="AQ13:AT13"/>
    <mergeCell ref="AO14:AP14"/>
    <mergeCell ref="AQ14:AT14"/>
    <mergeCell ref="F15:K15"/>
    <mergeCell ref="L15:N15"/>
    <mergeCell ref="O15:T15"/>
    <mergeCell ref="U15:X15"/>
    <mergeCell ref="AQ15:AT15"/>
    <mergeCell ref="F16:K16"/>
    <mergeCell ref="L16:N16"/>
    <mergeCell ref="O16:T16"/>
    <mergeCell ref="U16:X16"/>
    <mergeCell ref="AB16:AC16"/>
    <mergeCell ref="AD16:AF16"/>
    <mergeCell ref="AG16:AH16"/>
    <mergeCell ref="AI16:AL16"/>
    <mergeCell ref="AB15:AC15"/>
    <mergeCell ref="AD15:AF15"/>
    <mergeCell ref="AG15:AH15"/>
    <mergeCell ref="AI15:AL15"/>
    <mergeCell ref="AM15:AN15"/>
    <mergeCell ref="AO15:AP15"/>
    <mergeCell ref="F14:K14"/>
    <mergeCell ref="L14:N14"/>
    <mergeCell ref="AG14:AH14"/>
    <mergeCell ref="F18:K18"/>
    <mergeCell ref="L18:N18"/>
    <mergeCell ref="O18:T18"/>
    <mergeCell ref="U18:X18"/>
    <mergeCell ref="AM16:AN16"/>
    <mergeCell ref="AO16:AP16"/>
    <mergeCell ref="AQ16:AT16"/>
    <mergeCell ref="F17:K17"/>
    <mergeCell ref="L17:N17"/>
    <mergeCell ref="O17:T17"/>
    <mergeCell ref="U17:X17"/>
    <mergeCell ref="AB17:AC17"/>
    <mergeCell ref="AD17:AF17"/>
    <mergeCell ref="AB18:AC18"/>
    <mergeCell ref="AD18:AF18"/>
    <mergeCell ref="AG18:AH18"/>
    <mergeCell ref="AI18:AL18"/>
    <mergeCell ref="AM18:AN18"/>
    <mergeCell ref="AO18:AP18"/>
    <mergeCell ref="AG17:AH17"/>
    <mergeCell ref="AI17:AL17"/>
    <mergeCell ref="AM17:AN17"/>
    <mergeCell ref="AO17:AP17"/>
    <mergeCell ref="AM19:AN19"/>
    <mergeCell ref="AO19:AP19"/>
    <mergeCell ref="AQ19:AT19"/>
    <mergeCell ref="F20:K20"/>
    <mergeCell ref="L20:N20"/>
    <mergeCell ref="O20:T20"/>
    <mergeCell ref="U20:X20"/>
    <mergeCell ref="AB20:AC20"/>
    <mergeCell ref="AD20:AF20"/>
    <mergeCell ref="F19:K19"/>
    <mergeCell ref="L19:N19"/>
    <mergeCell ref="O19:T19"/>
    <mergeCell ref="U19:X19"/>
    <mergeCell ref="AB19:AC19"/>
    <mergeCell ref="AD19:AF19"/>
    <mergeCell ref="AG19:AH19"/>
    <mergeCell ref="AI19:AL19"/>
    <mergeCell ref="AG20:AH20"/>
    <mergeCell ref="AI20:AL20"/>
    <mergeCell ref="AM20:AN20"/>
    <mergeCell ref="AO20:AP20"/>
    <mergeCell ref="F24:K24"/>
    <mergeCell ref="L24:N24"/>
    <mergeCell ref="O24:T24"/>
    <mergeCell ref="U24:X24"/>
    <mergeCell ref="AM22:AN22"/>
    <mergeCell ref="AO22:AP22"/>
    <mergeCell ref="AB24:AC24"/>
    <mergeCell ref="AD24:AF24"/>
    <mergeCell ref="AG24:AH24"/>
    <mergeCell ref="AI24:AL24"/>
    <mergeCell ref="AM24:AN24"/>
    <mergeCell ref="AO24:AP24"/>
    <mergeCell ref="AG23:AH23"/>
    <mergeCell ref="AI23:AL23"/>
    <mergeCell ref="AM23:AN23"/>
    <mergeCell ref="AO23:AP23"/>
    <mergeCell ref="AM21:AN21"/>
    <mergeCell ref="AO21:AP21"/>
    <mergeCell ref="F23:K23"/>
    <mergeCell ref="L23:N23"/>
    <mergeCell ref="O23:T23"/>
    <mergeCell ref="U23:X23"/>
    <mergeCell ref="AB23:AC23"/>
    <mergeCell ref="AD23:AF23"/>
    <mergeCell ref="F22:K22"/>
    <mergeCell ref="L22:N22"/>
    <mergeCell ref="O22:T22"/>
    <mergeCell ref="U22:X22"/>
    <mergeCell ref="AB22:AC22"/>
    <mergeCell ref="AD22:AF22"/>
    <mergeCell ref="F21:K21"/>
    <mergeCell ref="L21:N21"/>
    <mergeCell ref="O21:T21"/>
    <mergeCell ref="U21:X21"/>
    <mergeCell ref="AB21:AC21"/>
    <mergeCell ref="AD21:AF21"/>
    <mergeCell ref="AG21:AH21"/>
    <mergeCell ref="AG22:AH22"/>
    <mergeCell ref="AI22:AL22"/>
    <mergeCell ref="AI21:AL21"/>
    <mergeCell ref="AM25:AN25"/>
    <mergeCell ref="AO25:AP25"/>
    <mergeCell ref="AO27:AP27"/>
    <mergeCell ref="AG26:AH26"/>
    <mergeCell ref="AI26:AL26"/>
    <mergeCell ref="AM26:AN26"/>
    <mergeCell ref="AQ25:AT25"/>
    <mergeCell ref="F26:K26"/>
    <mergeCell ref="L26:N26"/>
    <mergeCell ref="O26:T26"/>
    <mergeCell ref="U26:X26"/>
    <mergeCell ref="AB26:AC26"/>
    <mergeCell ref="AD26:AF26"/>
    <mergeCell ref="AO26:AP26"/>
    <mergeCell ref="AQ26:AT26"/>
    <mergeCell ref="F25:K25"/>
    <mergeCell ref="L25:N25"/>
    <mergeCell ref="O25:T25"/>
    <mergeCell ref="U25:X25"/>
    <mergeCell ref="AB25:AC25"/>
    <mergeCell ref="AD25:AF25"/>
    <mergeCell ref="AG25:AH25"/>
    <mergeCell ref="AI25:AL25"/>
    <mergeCell ref="AB27:AC27"/>
    <mergeCell ref="AB35:AD35"/>
    <mergeCell ref="AB36:AD36"/>
    <mergeCell ref="AD27:AF27"/>
    <mergeCell ref="AG27:AH27"/>
    <mergeCell ref="AI27:AL27"/>
    <mergeCell ref="AM27:AN27"/>
    <mergeCell ref="F27:K27"/>
    <mergeCell ref="L27:N27"/>
    <mergeCell ref="O27:T27"/>
    <mergeCell ref="U27:X27"/>
    <mergeCell ref="AM28:AN28"/>
    <mergeCell ref="AO28:AP28"/>
    <mergeCell ref="AQ28:AT28"/>
    <mergeCell ref="F29:K29"/>
    <mergeCell ref="L29:N29"/>
    <mergeCell ref="O29:T29"/>
    <mergeCell ref="U29:X29"/>
    <mergeCell ref="AB29:AC29"/>
    <mergeCell ref="AD29:AF29"/>
    <mergeCell ref="AG29:AH29"/>
    <mergeCell ref="F28:K28"/>
    <mergeCell ref="L28:N28"/>
    <mergeCell ref="O28:T28"/>
    <mergeCell ref="U28:X28"/>
    <mergeCell ref="AB28:AC28"/>
    <mergeCell ref="AD28:AF28"/>
    <mergeCell ref="AG28:AH28"/>
    <mergeCell ref="AI28:AL28"/>
    <mergeCell ref="AO42:AP42"/>
    <mergeCell ref="V5:AF5"/>
    <mergeCell ref="AI35:AL35"/>
    <mergeCell ref="AM35:AN35"/>
    <mergeCell ref="AO35:AP35"/>
    <mergeCell ref="AF36:AH36"/>
    <mergeCell ref="AF35:AH35"/>
    <mergeCell ref="F35:AA35"/>
    <mergeCell ref="AG30:AH30"/>
    <mergeCell ref="AI30:AL30"/>
    <mergeCell ref="AM30:AN30"/>
    <mergeCell ref="F30:K30"/>
    <mergeCell ref="L30:N30"/>
    <mergeCell ref="O30:T30"/>
    <mergeCell ref="U30:X30"/>
    <mergeCell ref="AO30:AP30"/>
    <mergeCell ref="AI32:AL32"/>
    <mergeCell ref="AO32:AP32"/>
    <mergeCell ref="AI29:AL29"/>
    <mergeCell ref="AM29:AN29"/>
    <mergeCell ref="AO29:AP29"/>
    <mergeCell ref="AB30:AC30"/>
    <mergeCell ref="AD30:AF30"/>
    <mergeCell ref="AM36:AN36"/>
    <mergeCell ref="F45:Q45"/>
    <mergeCell ref="R45:T45"/>
    <mergeCell ref="U45:W45"/>
    <mergeCell ref="AG45:AH45"/>
    <mergeCell ref="AI45:AL45"/>
    <mergeCell ref="AM45:AN45"/>
    <mergeCell ref="AF42:AH42"/>
    <mergeCell ref="AI42:AL42"/>
    <mergeCell ref="AM42:AN42"/>
    <mergeCell ref="F47:Q47"/>
    <mergeCell ref="R47:T47"/>
    <mergeCell ref="U47:W47"/>
    <mergeCell ref="AG47:AH47"/>
    <mergeCell ref="AI47:AL47"/>
    <mergeCell ref="AM47:AN47"/>
    <mergeCell ref="F48:Q48"/>
    <mergeCell ref="R48:T48"/>
    <mergeCell ref="F46:Q46"/>
    <mergeCell ref="R46:T46"/>
    <mergeCell ref="U46:W46"/>
    <mergeCell ref="AG46:AH46"/>
    <mergeCell ref="AI46:AL46"/>
    <mergeCell ref="AM46:AN46"/>
    <mergeCell ref="F49:Q49"/>
    <mergeCell ref="R49:T49"/>
    <mergeCell ref="U49:W49"/>
    <mergeCell ref="AG49:AH49"/>
    <mergeCell ref="F55:AJ55"/>
    <mergeCell ref="AI49:AL49"/>
    <mergeCell ref="AM49:AN49"/>
    <mergeCell ref="U48:W48"/>
    <mergeCell ref="AG48:AH48"/>
    <mergeCell ref="AI48:AL48"/>
    <mergeCell ref="AM48:AN48"/>
    <mergeCell ref="AK55:AN55"/>
    <mergeCell ref="F56:AJ56"/>
    <mergeCell ref="AK56:AN56"/>
    <mergeCell ref="F57:AJ57"/>
    <mergeCell ref="AK57:AN57"/>
    <mergeCell ref="AI50:AL50"/>
    <mergeCell ref="AM50:AN50"/>
    <mergeCell ref="AI52:AL52"/>
    <mergeCell ref="AM52:AN52"/>
    <mergeCell ref="F50:Q50"/>
    <mergeCell ref="R50:T50"/>
    <mergeCell ref="U50:W50"/>
    <mergeCell ref="AG50:AH50"/>
    <mergeCell ref="F61:AJ61"/>
    <mergeCell ref="AK61:AN61"/>
    <mergeCell ref="F62:AJ62"/>
    <mergeCell ref="AK62:AN62"/>
    <mergeCell ref="F63:AJ63"/>
    <mergeCell ref="AK63:AN63"/>
    <mergeCell ref="F58:AJ58"/>
    <mergeCell ref="AK58:AN58"/>
    <mergeCell ref="F59:AJ59"/>
    <mergeCell ref="AK59:AN59"/>
    <mergeCell ref="F60:AJ60"/>
    <mergeCell ref="AK60:AN60"/>
    <mergeCell ref="F69:AJ69"/>
    <mergeCell ref="AK69:AN69"/>
    <mergeCell ref="F70:AJ70"/>
    <mergeCell ref="AK70:AN70"/>
    <mergeCell ref="F71:AJ71"/>
    <mergeCell ref="AK71:AN71"/>
    <mergeCell ref="F64:AJ64"/>
    <mergeCell ref="AK64:AN64"/>
    <mergeCell ref="F65:AJ65"/>
    <mergeCell ref="AK65:AN65"/>
    <mergeCell ref="F68:AJ68"/>
    <mergeCell ref="AK68:AN68"/>
    <mergeCell ref="F75:AJ75"/>
    <mergeCell ref="AK75:AN75"/>
    <mergeCell ref="F76:AJ76"/>
    <mergeCell ref="AK76:AN76"/>
    <mergeCell ref="F77:AJ77"/>
    <mergeCell ref="AK77:AN77"/>
    <mergeCell ref="F72:AJ72"/>
    <mergeCell ref="AK72:AN72"/>
    <mergeCell ref="F73:AJ73"/>
    <mergeCell ref="AK73:AN73"/>
    <mergeCell ref="F74:AJ74"/>
    <mergeCell ref="AK74:AN74"/>
    <mergeCell ref="F81:AJ81"/>
    <mergeCell ref="AK81:AN81"/>
    <mergeCell ref="F82:AJ82"/>
    <mergeCell ref="AK82:AN82"/>
    <mergeCell ref="F83:AJ83"/>
    <mergeCell ref="AK83:AN83"/>
    <mergeCell ref="F78:AJ78"/>
    <mergeCell ref="AK78:AN78"/>
    <mergeCell ref="F79:AJ79"/>
    <mergeCell ref="AK79:AN79"/>
    <mergeCell ref="F80:AJ80"/>
    <mergeCell ref="AK80:AN80"/>
    <mergeCell ref="F89:AJ89"/>
    <mergeCell ref="AK89:AN89"/>
    <mergeCell ref="AK90:AN90"/>
    <mergeCell ref="AK91:AN91"/>
    <mergeCell ref="F90:L90"/>
    <mergeCell ref="F91:L91"/>
    <mergeCell ref="M90:AJ90"/>
    <mergeCell ref="M91:AJ91"/>
    <mergeCell ref="F84:AJ84"/>
    <mergeCell ref="AK84:AN84"/>
    <mergeCell ref="F85:AJ85"/>
    <mergeCell ref="AK85:AN85"/>
    <mergeCell ref="AK98:AN98"/>
    <mergeCell ref="AK99:AN99"/>
    <mergeCell ref="F102:AF102"/>
    <mergeCell ref="AG102:AJ102"/>
    <mergeCell ref="AK102:AN102"/>
    <mergeCell ref="F92:L99"/>
    <mergeCell ref="M93:AJ93"/>
    <mergeCell ref="M94:AJ94"/>
    <mergeCell ref="M95:AJ95"/>
    <mergeCell ref="M96:AJ96"/>
    <mergeCell ref="M97:AJ97"/>
    <mergeCell ref="M98:AJ98"/>
    <mergeCell ref="M99:AJ99"/>
    <mergeCell ref="AK95:AN95"/>
    <mergeCell ref="AK96:AN96"/>
    <mergeCell ref="AK97:AN97"/>
    <mergeCell ref="AK92:AN92"/>
    <mergeCell ref="AK93:AN93"/>
    <mergeCell ref="AK94:AN94"/>
    <mergeCell ref="M92:AJ92"/>
    <mergeCell ref="F105:AF105"/>
    <mergeCell ref="AG105:AJ105"/>
    <mergeCell ref="AK105:AN105"/>
    <mergeCell ref="F106:AF106"/>
    <mergeCell ref="AG106:AJ106"/>
    <mergeCell ref="AK106:AN106"/>
    <mergeCell ref="F103:AF103"/>
    <mergeCell ref="AG103:AJ103"/>
    <mergeCell ref="AK103:AN103"/>
    <mergeCell ref="F104:AF104"/>
    <mergeCell ref="AG104:AJ104"/>
    <mergeCell ref="AK104:AN104"/>
    <mergeCell ref="F110:AJ110"/>
    <mergeCell ref="AK110:AN110"/>
    <mergeCell ref="F111:AJ111"/>
    <mergeCell ref="AK111:AN111"/>
    <mergeCell ref="F112:AJ112"/>
    <mergeCell ref="AK112:AN112"/>
    <mergeCell ref="F107:AF107"/>
    <mergeCell ref="AG107:AJ107"/>
    <mergeCell ref="AK107:AN107"/>
    <mergeCell ref="F108:AJ108"/>
    <mergeCell ref="AK108:AN108"/>
    <mergeCell ref="F109:AJ109"/>
    <mergeCell ref="AK109:AN109"/>
    <mergeCell ref="AK121:AN121"/>
    <mergeCell ref="AK122:AN122"/>
    <mergeCell ref="M120:AJ120"/>
    <mergeCell ref="M121:AJ121"/>
    <mergeCell ref="M122:AJ122"/>
    <mergeCell ref="F119:L122"/>
    <mergeCell ref="F113:AJ113"/>
    <mergeCell ref="AK113:AN113"/>
    <mergeCell ref="AP114:AT114"/>
    <mergeCell ref="F116:AJ116"/>
    <mergeCell ref="AK116:AN116"/>
    <mergeCell ref="F117:L117"/>
    <mergeCell ref="M117:AJ117"/>
    <mergeCell ref="AK117:AN117"/>
    <mergeCell ref="AP145:AT145"/>
    <mergeCell ref="AO49:AP49"/>
    <mergeCell ref="AQ49:AT49"/>
    <mergeCell ref="AO50:AP50"/>
    <mergeCell ref="AQ50:AT50"/>
    <mergeCell ref="O137:R137"/>
    <mergeCell ref="T137:W137"/>
    <mergeCell ref="Y137:AB137"/>
    <mergeCell ref="AD137:AG137"/>
    <mergeCell ref="AI137:AL137"/>
    <mergeCell ref="O136:R136"/>
    <mergeCell ref="T136:W136"/>
    <mergeCell ref="Y136:AB136"/>
    <mergeCell ref="AD136:AG136"/>
    <mergeCell ref="AI136:AL136"/>
    <mergeCell ref="AK129:AN129"/>
    <mergeCell ref="O134:R134"/>
    <mergeCell ref="T134:W134"/>
    <mergeCell ref="O133:R133"/>
    <mergeCell ref="T133:W133"/>
    <mergeCell ref="AK127:AN127"/>
    <mergeCell ref="AK128:AN128"/>
    <mergeCell ref="M124:AJ124"/>
    <mergeCell ref="AK124:AN124"/>
    <mergeCell ref="AP141:AT141"/>
    <mergeCell ref="AP143:AT143"/>
    <mergeCell ref="AP137:AT137"/>
    <mergeCell ref="AP134:AT134"/>
    <mergeCell ref="AP130:AT130"/>
    <mergeCell ref="AO46:AP46"/>
    <mergeCell ref="AQ46:AT46"/>
    <mergeCell ref="AO47:AP47"/>
    <mergeCell ref="AQ47:AT47"/>
    <mergeCell ref="AO48:AP48"/>
    <mergeCell ref="AQ48:AT48"/>
    <mergeCell ref="AO45:AP45"/>
    <mergeCell ref="AQ45:AT45"/>
    <mergeCell ref="AQ22:AT22"/>
    <mergeCell ref="M127:AJ127"/>
    <mergeCell ref="F125:L125"/>
    <mergeCell ref="AM37:AN37"/>
    <mergeCell ref="AM38:AN38"/>
    <mergeCell ref="AI36:AL36"/>
    <mergeCell ref="AM39:AN39"/>
    <mergeCell ref="M125:AJ125"/>
    <mergeCell ref="AK125:AN125"/>
    <mergeCell ref="F126:L126"/>
    <mergeCell ref="M126:AJ126"/>
    <mergeCell ref="AK126:AN126"/>
    <mergeCell ref="F123:L123"/>
    <mergeCell ref="M123:AJ123"/>
    <mergeCell ref="AK123:AN123"/>
    <mergeCell ref="F124:L124"/>
    <mergeCell ref="F118:L118"/>
    <mergeCell ref="M118:AJ118"/>
    <mergeCell ref="AK118:AN118"/>
    <mergeCell ref="M119:AJ119"/>
    <mergeCell ref="AK119:AN119"/>
    <mergeCell ref="AK120:AN120"/>
    <mergeCell ref="AI37:AL37"/>
    <mergeCell ref="F36:AA36"/>
    <mergeCell ref="F37:AA37"/>
    <mergeCell ref="AR3:AU3"/>
    <mergeCell ref="AP139:AT139"/>
    <mergeCell ref="AP140:AR140"/>
    <mergeCell ref="AQ35:AT35"/>
    <mergeCell ref="AQ42:AT42"/>
    <mergeCell ref="AQ30:AT30"/>
    <mergeCell ref="AQ32:AT32"/>
    <mergeCell ref="AQ29:AT29"/>
    <mergeCell ref="AQ27:AT27"/>
    <mergeCell ref="AQ24:AT24"/>
    <mergeCell ref="AQ23:AT23"/>
    <mergeCell ref="AQ21:AT21"/>
    <mergeCell ref="AQ20:AT20"/>
    <mergeCell ref="AQ18:AT18"/>
    <mergeCell ref="AQ17:AT17"/>
    <mergeCell ref="AP100:AT100"/>
    <mergeCell ref="AP86:AT86"/>
    <mergeCell ref="AP87:AT87"/>
    <mergeCell ref="AP66:AT66"/>
    <mergeCell ref="AO52:AP52"/>
    <mergeCell ref="AQ52:AT52"/>
    <mergeCell ref="F127:L129"/>
    <mergeCell ref="M128:AJ128"/>
    <mergeCell ref="M129:AJ129"/>
    <mergeCell ref="F39:AA39"/>
    <mergeCell ref="F40:AA40"/>
    <mergeCell ref="F38:AA38"/>
    <mergeCell ref="AQ36:AT36"/>
    <mergeCell ref="AQ37:AT37"/>
    <mergeCell ref="AQ38:AT38"/>
    <mergeCell ref="AQ39:AT39"/>
    <mergeCell ref="AQ40:AT40"/>
    <mergeCell ref="AO36:AP36"/>
    <mergeCell ref="AO37:AP37"/>
    <mergeCell ref="AO38:AP38"/>
    <mergeCell ref="AO39:AP39"/>
    <mergeCell ref="AO40:AP40"/>
    <mergeCell ref="AM40:AN40"/>
    <mergeCell ref="AI39:AL39"/>
    <mergeCell ref="AI38:AL38"/>
    <mergeCell ref="AF37:AH37"/>
    <mergeCell ref="AF38:AH38"/>
    <mergeCell ref="AF39:AH39"/>
    <mergeCell ref="AF40:AH40"/>
    <mergeCell ref="AI40:AL40"/>
  </mergeCells>
  <conditionalFormatting sqref="AB11:AC30">
    <cfRule type="expression" dxfId="46" priority="21" stopIfTrue="1">
      <formula>OR(AND($Y11=3,$AB11&gt;3),AND($Y11=2,$AB11&gt;9),AND($Y11=4,$AB11&gt;12))</formula>
    </cfRule>
  </conditionalFormatting>
  <conditionalFormatting sqref="AG11:AH30">
    <cfRule type="expression" dxfId="45" priority="19" stopIfTrue="1">
      <formula>OR($U11="",$AB11="",$AD11="")</formula>
    </cfRule>
  </conditionalFormatting>
  <conditionalFormatting sqref="AI11:AL30">
    <cfRule type="expression" dxfId="44" priority="18" stopIfTrue="1">
      <formula>OR($U11="",$AB11="",$AD11="")</formula>
    </cfRule>
  </conditionalFormatting>
  <conditionalFormatting sqref="AM11:AN30">
    <cfRule type="expression" dxfId="43" priority="17" stopIfTrue="1">
      <formula>OR($U11="",$AB11="",$AD11="")</formula>
    </cfRule>
  </conditionalFormatting>
  <conditionalFormatting sqref="AO11:AP30">
    <cfRule type="expression" dxfId="42" priority="16" stopIfTrue="1">
      <formula>OR($U11="",$AB11="",$AD11="")</formula>
    </cfRule>
  </conditionalFormatting>
  <conditionalFormatting sqref="AQ11:AT30">
    <cfRule type="expression" dxfId="41" priority="15" stopIfTrue="1">
      <formula>OR($U11="",$AB11="",$AD11="")</formula>
    </cfRule>
  </conditionalFormatting>
  <conditionalFormatting sqref="F11:F30">
    <cfRule type="expression" dxfId="40" priority="14" stopIfTrue="1">
      <formula>F11=0</formula>
    </cfRule>
  </conditionalFormatting>
  <conditionalFormatting sqref="AG103:AJ107 F109:AJ113 F103:F107">
    <cfRule type="cellIs" dxfId="39" priority="13" stopIfTrue="1" operator="equal">
      <formula>0</formula>
    </cfRule>
  </conditionalFormatting>
  <conditionalFormatting sqref="AI46:AT50">
    <cfRule type="expression" dxfId="38" priority="11" stopIfTrue="1">
      <formula>$U46=""</formula>
    </cfRule>
  </conditionalFormatting>
  <conditionalFormatting sqref="AG46:AH50">
    <cfRule type="expression" dxfId="37" priority="10" stopIfTrue="1">
      <formula>$U46=""</formula>
    </cfRule>
  </conditionalFormatting>
  <conditionalFormatting sqref="AD11:AF30">
    <cfRule type="expression" dxfId="36" priority="8" stopIfTrue="1">
      <formula>$AD11&gt;100%</formula>
    </cfRule>
  </conditionalFormatting>
  <conditionalFormatting sqref="U6">
    <cfRule type="cellIs" dxfId="35" priority="5" stopIfTrue="1" operator="equal">
      <formula>0</formula>
    </cfRule>
  </conditionalFormatting>
  <conditionalFormatting sqref="V5:AT6">
    <cfRule type="cellIs" dxfId="34" priority="4" stopIfTrue="1" operator="lessThanOrEqual">
      <formula>0</formula>
    </cfRule>
  </conditionalFormatting>
  <conditionalFormatting sqref="R8:AT9">
    <cfRule type="expression" dxfId="33" priority="2">
      <formula>SUM($AA$11:$AA$30)&gt;0</formula>
    </cfRule>
  </conditionalFormatting>
  <conditionalFormatting sqref="U11:X30">
    <cfRule type="expression" dxfId="32" priority="1">
      <formula>$AA11</formula>
    </cfRule>
  </conditionalFormatting>
  <conditionalFormatting sqref="AO36:AO40 AQ36:AQ40 AF36:AF40 AI36:AI40 AM36:AM40">
    <cfRule type="expression" dxfId="31" priority="36" stopIfTrue="1">
      <formula>$AB36=""</formula>
    </cfRule>
  </conditionalFormatting>
  <dataValidations count="5">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AB11:AC30" xr:uid="{00000000-0002-0000-0700-000000000000}">
      <formula1>0</formula1>
    </dataValidation>
    <dataValidation type="decimal" operator="greaterThanOrEqual" allowBlank="1" showErrorMessage="1" errorTitle="Invalid Number Input" error="You must enter a number into this cell with a value of zero or higher. Click RETRY to change your entry, or CANCEL to undo your changes." sqref="AK126:AN129 R46:W50 AK56:AN65 AK69:AN76 AK78:AN85 AK90:AN99 AK103:AN107 AK109:AN113 AK117:AN124" xr:uid="{00000000-0002-0000-0700-000001000000}">
      <formula1>0</formula1>
    </dataValidation>
    <dataValidation type="decimal" allowBlank="1" showErrorMessage="1" errorTitle="Invalid % Effort Input" error="Percent Effort must be an decimal value greater than or equal to zero.  Click RETRY to change your entry, or CANCEL to undo your changes." sqref="AD11:AF30" xr:uid="{00000000-0002-0000-0700-000002000000}">
      <formula1>0</formula1>
      <formula2>5</formula2>
    </dataValidation>
    <dataValidation type="decimal" operator="greaterThanOrEqual" allowBlank="1" showErrorMessage="1" errorTitle="Invalid Number Input" error="You must enter a decimal number into this cell with a value of 0.25 or higher. Click RETRY to change your entry, or CANCEL to undo your changes." sqref="AB36:AD40" xr:uid="{00000000-0002-0000-0700-000003000000}">
      <formula1>0.25</formula1>
    </dataValidation>
    <dataValidation type="whole" allowBlank="1" showErrorMessage="1" errorTitle="Data Entry Prohibited" error="Do not enter data direclty into this cell.  The value of this cell is controlled by the &quot;Period&quot; drop-down." sqref="Y11:Y30" xr:uid="{00000000-0002-0000-0700-000004000000}">
      <formula1>0</formula1>
      <formula2>4</formula2>
    </dataValidation>
  </dataValidations>
  <printOptions horizontalCentered="1"/>
  <pageMargins left="0.25" right="0.25" top="0.75" bottom="0.75" header="0.3" footer="0.3"/>
  <pageSetup scale="56" fitToHeight="0" orientation="portrait" r:id="rId1"/>
  <headerFooter>
    <oddFooter>Page &amp;P of &amp;N</oddFooter>
  </headerFooter>
  <rowBreaks count="1" manualBreakCount="1">
    <brk id="67" min="1" max="47" man="1"/>
  </rowBreaks>
  <ignoredErrors>
    <ignoredError sqref="F11:K30" formulaRange="1"/>
    <ignoredError sqref="D11:E30 E46:E50 E56:E65 E69:E76 E78:E85 E90:E99 E109:E113 E103:E107 E36:E40 E117:E129" numberStoredAsText="1"/>
    <ignoredError sqref="L11:T3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24</xdr:col>
                    <xdr:colOff>19050</xdr:colOff>
                    <xdr:row>10</xdr:row>
                    <xdr:rowOff>19050</xdr:rowOff>
                  </from>
                  <to>
                    <xdr:col>26</xdr:col>
                    <xdr:colOff>247650</xdr:colOff>
                    <xdr:row>10</xdr:row>
                    <xdr:rowOff>219075</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24</xdr:col>
                    <xdr:colOff>19050</xdr:colOff>
                    <xdr:row>11</xdr:row>
                    <xdr:rowOff>19050</xdr:rowOff>
                  </from>
                  <to>
                    <xdr:col>26</xdr:col>
                    <xdr:colOff>247650</xdr:colOff>
                    <xdr:row>11</xdr:row>
                    <xdr:rowOff>219075</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24</xdr:col>
                    <xdr:colOff>19050</xdr:colOff>
                    <xdr:row>12</xdr:row>
                    <xdr:rowOff>19050</xdr:rowOff>
                  </from>
                  <to>
                    <xdr:col>26</xdr:col>
                    <xdr:colOff>247650</xdr:colOff>
                    <xdr:row>12</xdr:row>
                    <xdr:rowOff>219075</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24</xdr:col>
                    <xdr:colOff>19050</xdr:colOff>
                    <xdr:row>13</xdr:row>
                    <xdr:rowOff>19050</xdr:rowOff>
                  </from>
                  <to>
                    <xdr:col>26</xdr:col>
                    <xdr:colOff>247650</xdr:colOff>
                    <xdr:row>13</xdr:row>
                    <xdr:rowOff>219075</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24</xdr:col>
                    <xdr:colOff>19050</xdr:colOff>
                    <xdr:row>14</xdr:row>
                    <xdr:rowOff>19050</xdr:rowOff>
                  </from>
                  <to>
                    <xdr:col>26</xdr:col>
                    <xdr:colOff>247650</xdr:colOff>
                    <xdr:row>14</xdr:row>
                    <xdr:rowOff>219075</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24</xdr:col>
                    <xdr:colOff>19050</xdr:colOff>
                    <xdr:row>15</xdr:row>
                    <xdr:rowOff>19050</xdr:rowOff>
                  </from>
                  <to>
                    <xdr:col>26</xdr:col>
                    <xdr:colOff>247650</xdr:colOff>
                    <xdr:row>15</xdr:row>
                    <xdr:rowOff>219075</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24</xdr:col>
                    <xdr:colOff>19050</xdr:colOff>
                    <xdr:row>16</xdr:row>
                    <xdr:rowOff>19050</xdr:rowOff>
                  </from>
                  <to>
                    <xdr:col>26</xdr:col>
                    <xdr:colOff>247650</xdr:colOff>
                    <xdr:row>16</xdr:row>
                    <xdr:rowOff>219075</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24</xdr:col>
                    <xdr:colOff>19050</xdr:colOff>
                    <xdr:row>17</xdr:row>
                    <xdr:rowOff>19050</xdr:rowOff>
                  </from>
                  <to>
                    <xdr:col>26</xdr:col>
                    <xdr:colOff>247650</xdr:colOff>
                    <xdr:row>17</xdr:row>
                    <xdr:rowOff>219075</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24</xdr:col>
                    <xdr:colOff>19050</xdr:colOff>
                    <xdr:row>18</xdr:row>
                    <xdr:rowOff>19050</xdr:rowOff>
                  </from>
                  <to>
                    <xdr:col>26</xdr:col>
                    <xdr:colOff>247650</xdr:colOff>
                    <xdr:row>18</xdr:row>
                    <xdr:rowOff>219075</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24</xdr:col>
                    <xdr:colOff>19050</xdr:colOff>
                    <xdr:row>19</xdr:row>
                    <xdr:rowOff>19050</xdr:rowOff>
                  </from>
                  <to>
                    <xdr:col>26</xdr:col>
                    <xdr:colOff>247650</xdr:colOff>
                    <xdr:row>19</xdr:row>
                    <xdr:rowOff>219075</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24</xdr:col>
                    <xdr:colOff>19050</xdr:colOff>
                    <xdr:row>20</xdr:row>
                    <xdr:rowOff>19050</xdr:rowOff>
                  </from>
                  <to>
                    <xdr:col>26</xdr:col>
                    <xdr:colOff>247650</xdr:colOff>
                    <xdr:row>20</xdr:row>
                    <xdr:rowOff>219075</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24</xdr:col>
                    <xdr:colOff>19050</xdr:colOff>
                    <xdr:row>21</xdr:row>
                    <xdr:rowOff>19050</xdr:rowOff>
                  </from>
                  <to>
                    <xdr:col>26</xdr:col>
                    <xdr:colOff>247650</xdr:colOff>
                    <xdr:row>21</xdr:row>
                    <xdr:rowOff>219075</xdr:rowOff>
                  </to>
                </anchor>
              </controlPr>
            </control>
          </mc:Choice>
        </mc:AlternateContent>
        <mc:AlternateContent xmlns:mc="http://schemas.openxmlformats.org/markup-compatibility/2006">
          <mc:Choice Requires="x14">
            <control shapeId="13325" r:id="rId16" name="Drop Down 13">
              <controlPr defaultSize="0" autoLine="0" autoPict="0">
                <anchor moveWithCells="1">
                  <from>
                    <xdr:col>24</xdr:col>
                    <xdr:colOff>19050</xdr:colOff>
                    <xdr:row>22</xdr:row>
                    <xdr:rowOff>19050</xdr:rowOff>
                  </from>
                  <to>
                    <xdr:col>26</xdr:col>
                    <xdr:colOff>247650</xdr:colOff>
                    <xdr:row>22</xdr:row>
                    <xdr:rowOff>219075</xdr:rowOff>
                  </to>
                </anchor>
              </controlPr>
            </control>
          </mc:Choice>
        </mc:AlternateContent>
        <mc:AlternateContent xmlns:mc="http://schemas.openxmlformats.org/markup-compatibility/2006">
          <mc:Choice Requires="x14">
            <control shapeId="13326" r:id="rId17" name="Drop Down 14">
              <controlPr defaultSize="0" autoLine="0" autoPict="0">
                <anchor moveWithCells="1">
                  <from>
                    <xdr:col>24</xdr:col>
                    <xdr:colOff>19050</xdr:colOff>
                    <xdr:row>23</xdr:row>
                    <xdr:rowOff>19050</xdr:rowOff>
                  </from>
                  <to>
                    <xdr:col>26</xdr:col>
                    <xdr:colOff>247650</xdr:colOff>
                    <xdr:row>23</xdr:row>
                    <xdr:rowOff>219075</xdr:rowOff>
                  </to>
                </anchor>
              </controlPr>
            </control>
          </mc:Choice>
        </mc:AlternateContent>
        <mc:AlternateContent xmlns:mc="http://schemas.openxmlformats.org/markup-compatibility/2006">
          <mc:Choice Requires="x14">
            <control shapeId="13327" r:id="rId18" name="Drop Down 15">
              <controlPr defaultSize="0" autoLine="0" autoPict="0">
                <anchor moveWithCells="1">
                  <from>
                    <xdr:col>24</xdr:col>
                    <xdr:colOff>19050</xdr:colOff>
                    <xdr:row>24</xdr:row>
                    <xdr:rowOff>19050</xdr:rowOff>
                  </from>
                  <to>
                    <xdr:col>26</xdr:col>
                    <xdr:colOff>247650</xdr:colOff>
                    <xdr:row>24</xdr:row>
                    <xdr:rowOff>219075</xdr:rowOff>
                  </to>
                </anchor>
              </controlPr>
            </control>
          </mc:Choice>
        </mc:AlternateContent>
        <mc:AlternateContent xmlns:mc="http://schemas.openxmlformats.org/markup-compatibility/2006">
          <mc:Choice Requires="x14">
            <control shapeId="13328" r:id="rId19" name="Drop Down 16">
              <controlPr defaultSize="0" autoLine="0" autoPict="0">
                <anchor moveWithCells="1">
                  <from>
                    <xdr:col>24</xdr:col>
                    <xdr:colOff>19050</xdr:colOff>
                    <xdr:row>25</xdr:row>
                    <xdr:rowOff>19050</xdr:rowOff>
                  </from>
                  <to>
                    <xdr:col>26</xdr:col>
                    <xdr:colOff>247650</xdr:colOff>
                    <xdr:row>25</xdr:row>
                    <xdr:rowOff>219075</xdr:rowOff>
                  </to>
                </anchor>
              </controlPr>
            </control>
          </mc:Choice>
        </mc:AlternateContent>
        <mc:AlternateContent xmlns:mc="http://schemas.openxmlformats.org/markup-compatibility/2006">
          <mc:Choice Requires="x14">
            <control shapeId="13329" r:id="rId20" name="Drop Down 17">
              <controlPr defaultSize="0" autoLine="0" autoPict="0">
                <anchor moveWithCells="1">
                  <from>
                    <xdr:col>24</xdr:col>
                    <xdr:colOff>19050</xdr:colOff>
                    <xdr:row>26</xdr:row>
                    <xdr:rowOff>19050</xdr:rowOff>
                  </from>
                  <to>
                    <xdr:col>26</xdr:col>
                    <xdr:colOff>247650</xdr:colOff>
                    <xdr:row>26</xdr:row>
                    <xdr:rowOff>219075</xdr:rowOff>
                  </to>
                </anchor>
              </controlPr>
            </control>
          </mc:Choice>
        </mc:AlternateContent>
        <mc:AlternateContent xmlns:mc="http://schemas.openxmlformats.org/markup-compatibility/2006">
          <mc:Choice Requires="x14">
            <control shapeId="13330" r:id="rId21" name="Drop Down 18">
              <controlPr defaultSize="0" autoLine="0" autoPict="0">
                <anchor moveWithCells="1">
                  <from>
                    <xdr:col>24</xdr:col>
                    <xdr:colOff>19050</xdr:colOff>
                    <xdr:row>27</xdr:row>
                    <xdr:rowOff>19050</xdr:rowOff>
                  </from>
                  <to>
                    <xdr:col>26</xdr:col>
                    <xdr:colOff>247650</xdr:colOff>
                    <xdr:row>27</xdr:row>
                    <xdr:rowOff>219075</xdr:rowOff>
                  </to>
                </anchor>
              </controlPr>
            </control>
          </mc:Choice>
        </mc:AlternateContent>
        <mc:AlternateContent xmlns:mc="http://schemas.openxmlformats.org/markup-compatibility/2006">
          <mc:Choice Requires="x14">
            <control shapeId="13331" r:id="rId22" name="Drop Down 19">
              <controlPr defaultSize="0" autoLine="0" autoPict="0">
                <anchor moveWithCells="1">
                  <from>
                    <xdr:col>24</xdr:col>
                    <xdr:colOff>19050</xdr:colOff>
                    <xdr:row>28</xdr:row>
                    <xdr:rowOff>19050</xdr:rowOff>
                  </from>
                  <to>
                    <xdr:col>26</xdr:col>
                    <xdr:colOff>247650</xdr:colOff>
                    <xdr:row>28</xdr:row>
                    <xdr:rowOff>219075</xdr:rowOff>
                  </to>
                </anchor>
              </controlPr>
            </control>
          </mc:Choice>
        </mc:AlternateContent>
        <mc:AlternateContent xmlns:mc="http://schemas.openxmlformats.org/markup-compatibility/2006">
          <mc:Choice Requires="x14">
            <control shapeId="13332" r:id="rId23" name="Drop Down 20">
              <controlPr defaultSize="0" autoLine="0" autoPict="0">
                <anchor moveWithCells="1">
                  <from>
                    <xdr:col>24</xdr:col>
                    <xdr:colOff>19050</xdr:colOff>
                    <xdr:row>29</xdr:row>
                    <xdr:rowOff>19050</xdr:rowOff>
                  </from>
                  <to>
                    <xdr:col>26</xdr:col>
                    <xdr:colOff>247650</xdr:colOff>
                    <xdr:row>29</xdr:row>
                    <xdr:rowOff>219075</xdr:rowOff>
                  </to>
                </anchor>
              </controlPr>
            </control>
          </mc:Choice>
        </mc:AlternateContent>
        <mc:AlternateContent xmlns:mc="http://schemas.openxmlformats.org/markup-compatibility/2006">
          <mc:Choice Requires="x14">
            <control shapeId="13346" r:id="rId24" name="Drop Down 34">
              <controlPr defaultSize="0" autoLine="0" autoPict="0">
                <anchor moveWithCells="1" sizeWithCells="1">
                  <from>
                    <xdr:col>17</xdr:col>
                    <xdr:colOff>190500</xdr:colOff>
                    <xdr:row>36</xdr:row>
                    <xdr:rowOff>9525</xdr:rowOff>
                  </from>
                  <to>
                    <xdr:col>26</xdr:col>
                    <xdr:colOff>238125</xdr:colOff>
                    <xdr:row>36</xdr:row>
                    <xdr:rowOff>238125</xdr:rowOff>
                  </to>
                </anchor>
              </controlPr>
            </control>
          </mc:Choice>
        </mc:AlternateContent>
        <mc:AlternateContent xmlns:mc="http://schemas.openxmlformats.org/markup-compatibility/2006">
          <mc:Choice Requires="x14">
            <control shapeId="13347" r:id="rId25" name="Drop Down 35">
              <controlPr defaultSize="0" autoLine="0" autoPict="0">
                <anchor moveWithCells="1" sizeWithCells="1">
                  <from>
                    <xdr:col>5</xdr:col>
                    <xdr:colOff>9525</xdr:colOff>
                    <xdr:row>36</xdr:row>
                    <xdr:rowOff>9525</xdr:rowOff>
                  </from>
                  <to>
                    <xdr:col>12</xdr:col>
                    <xdr:colOff>0</xdr:colOff>
                    <xdr:row>36</xdr:row>
                    <xdr:rowOff>238125</xdr:rowOff>
                  </to>
                </anchor>
              </controlPr>
            </control>
          </mc:Choice>
        </mc:AlternateContent>
        <mc:AlternateContent xmlns:mc="http://schemas.openxmlformats.org/markup-compatibility/2006">
          <mc:Choice Requires="x14">
            <control shapeId="13348" r:id="rId26" name="Drop Down 36">
              <controlPr defaultSize="0" autoLine="0" autoPict="0">
                <anchor moveWithCells="1" sizeWithCells="1">
                  <from>
                    <xdr:col>12</xdr:col>
                    <xdr:colOff>28575</xdr:colOff>
                    <xdr:row>36</xdr:row>
                    <xdr:rowOff>9525</xdr:rowOff>
                  </from>
                  <to>
                    <xdr:col>17</xdr:col>
                    <xdr:colOff>161925</xdr:colOff>
                    <xdr:row>36</xdr:row>
                    <xdr:rowOff>238125</xdr:rowOff>
                  </to>
                </anchor>
              </controlPr>
            </control>
          </mc:Choice>
        </mc:AlternateContent>
        <mc:AlternateContent xmlns:mc="http://schemas.openxmlformats.org/markup-compatibility/2006">
          <mc:Choice Requires="x14">
            <control shapeId="13349" r:id="rId27" name="Drop Down 37">
              <controlPr defaultSize="0" autoLine="0" autoPict="0">
                <anchor moveWithCells="1" sizeWithCells="1">
                  <from>
                    <xdr:col>17</xdr:col>
                    <xdr:colOff>190500</xdr:colOff>
                    <xdr:row>37</xdr:row>
                    <xdr:rowOff>9525</xdr:rowOff>
                  </from>
                  <to>
                    <xdr:col>26</xdr:col>
                    <xdr:colOff>238125</xdr:colOff>
                    <xdr:row>37</xdr:row>
                    <xdr:rowOff>238125</xdr:rowOff>
                  </to>
                </anchor>
              </controlPr>
            </control>
          </mc:Choice>
        </mc:AlternateContent>
        <mc:AlternateContent xmlns:mc="http://schemas.openxmlformats.org/markup-compatibility/2006">
          <mc:Choice Requires="x14">
            <control shapeId="13350" r:id="rId28" name="Drop Down 38">
              <controlPr defaultSize="0" autoLine="0" autoPict="0">
                <anchor moveWithCells="1" sizeWithCells="1">
                  <from>
                    <xdr:col>5</xdr:col>
                    <xdr:colOff>9525</xdr:colOff>
                    <xdr:row>37</xdr:row>
                    <xdr:rowOff>9525</xdr:rowOff>
                  </from>
                  <to>
                    <xdr:col>12</xdr:col>
                    <xdr:colOff>0</xdr:colOff>
                    <xdr:row>37</xdr:row>
                    <xdr:rowOff>238125</xdr:rowOff>
                  </to>
                </anchor>
              </controlPr>
            </control>
          </mc:Choice>
        </mc:AlternateContent>
        <mc:AlternateContent xmlns:mc="http://schemas.openxmlformats.org/markup-compatibility/2006">
          <mc:Choice Requires="x14">
            <control shapeId="13351" r:id="rId29" name="Drop Down 39">
              <controlPr defaultSize="0" autoLine="0" autoPict="0">
                <anchor moveWithCells="1" sizeWithCells="1">
                  <from>
                    <xdr:col>12</xdr:col>
                    <xdr:colOff>28575</xdr:colOff>
                    <xdr:row>37</xdr:row>
                    <xdr:rowOff>9525</xdr:rowOff>
                  </from>
                  <to>
                    <xdr:col>17</xdr:col>
                    <xdr:colOff>161925</xdr:colOff>
                    <xdr:row>37</xdr:row>
                    <xdr:rowOff>238125</xdr:rowOff>
                  </to>
                </anchor>
              </controlPr>
            </control>
          </mc:Choice>
        </mc:AlternateContent>
        <mc:AlternateContent xmlns:mc="http://schemas.openxmlformats.org/markup-compatibility/2006">
          <mc:Choice Requires="x14">
            <control shapeId="13352" r:id="rId30" name="Drop Down 40">
              <controlPr defaultSize="0" autoLine="0" autoPict="0">
                <anchor moveWithCells="1" sizeWithCells="1">
                  <from>
                    <xdr:col>17</xdr:col>
                    <xdr:colOff>190500</xdr:colOff>
                    <xdr:row>38</xdr:row>
                    <xdr:rowOff>9525</xdr:rowOff>
                  </from>
                  <to>
                    <xdr:col>26</xdr:col>
                    <xdr:colOff>238125</xdr:colOff>
                    <xdr:row>38</xdr:row>
                    <xdr:rowOff>238125</xdr:rowOff>
                  </to>
                </anchor>
              </controlPr>
            </control>
          </mc:Choice>
        </mc:AlternateContent>
        <mc:AlternateContent xmlns:mc="http://schemas.openxmlformats.org/markup-compatibility/2006">
          <mc:Choice Requires="x14">
            <control shapeId="13353" r:id="rId31" name="Drop Down 41">
              <controlPr defaultSize="0" autoLine="0" autoPict="0">
                <anchor moveWithCells="1" sizeWithCells="1">
                  <from>
                    <xdr:col>5</xdr:col>
                    <xdr:colOff>9525</xdr:colOff>
                    <xdr:row>38</xdr:row>
                    <xdr:rowOff>9525</xdr:rowOff>
                  </from>
                  <to>
                    <xdr:col>12</xdr:col>
                    <xdr:colOff>0</xdr:colOff>
                    <xdr:row>38</xdr:row>
                    <xdr:rowOff>238125</xdr:rowOff>
                  </to>
                </anchor>
              </controlPr>
            </control>
          </mc:Choice>
        </mc:AlternateContent>
        <mc:AlternateContent xmlns:mc="http://schemas.openxmlformats.org/markup-compatibility/2006">
          <mc:Choice Requires="x14">
            <control shapeId="13354" r:id="rId32" name="Drop Down 42">
              <controlPr defaultSize="0" autoLine="0" autoPict="0">
                <anchor moveWithCells="1" sizeWithCells="1">
                  <from>
                    <xdr:col>12</xdr:col>
                    <xdr:colOff>28575</xdr:colOff>
                    <xdr:row>38</xdr:row>
                    <xdr:rowOff>9525</xdr:rowOff>
                  </from>
                  <to>
                    <xdr:col>17</xdr:col>
                    <xdr:colOff>161925</xdr:colOff>
                    <xdr:row>38</xdr:row>
                    <xdr:rowOff>238125</xdr:rowOff>
                  </to>
                </anchor>
              </controlPr>
            </control>
          </mc:Choice>
        </mc:AlternateContent>
        <mc:AlternateContent xmlns:mc="http://schemas.openxmlformats.org/markup-compatibility/2006">
          <mc:Choice Requires="x14">
            <control shapeId="13355" r:id="rId33" name="Drop Down 43">
              <controlPr defaultSize="0" autoLine="0" autoPict="0">
                <anchor moveWithCells="1" sizeWithCells="1">
                  <from>
                    <xdr:col>17</xdr:col>
                    <xdr:colOff>190500</xdr:colOff>
                    <xdr:row>39</xdr:row>
                    <xdr:rowOff>9525</xdr:rowOff>
                  </from>
                  <to>
                    <xdr:col>26</xdr:col>
                    <xdr:colOff>238125</xdr:colOff>
                    <xdr:row>39</xdr:row>
                    <xdr:rowOff>238125</xdr:rowOff>
                  </to>
                </anchor>
              </controlPr>
            </control>
          </mc:Choice>
        </mc:AlternateContent>
        <mc:AlternateContent xmlns:mc="http://schemas.openxmlformats.org/markup-compatibility/2006">
          <mc:Choice Requires="x14">
            <control shapeId="13356" r:id="rId34" name="Drop Down 44">
              <controlPr defaultSize="0" autoLine="0" autoPict="0">
                <anchor moveWithCells="1" sizeWithCells="1">
                  <from>
                    <xdr:col>5</xdr:col>
                    <xdr:colOff>9525</xdr:colOff>
                    <xdr:row>39</xdr:row>
                    <xdr:rowOff>9525</xdr:rowOff>
                  </from>
                  <to>
                    <xdr:col>12</xdr:col>
                    <xdr:colOff>0</xdr:colOff>
                    <xdr:row>39</xdr:row>
                    <xdr:rowOff>238125</xdr:rowOff>
                  </to>
                </anchor>
              </controlPr>
            </control>
          </mc:Choice>
        </mc:AlternateContent>
        <mc:AlternateContent xmlns:mc="http://schemas.openxmlformats.org/markup-compatibility/2006">
          <mc:Choice Requires="x14">
            <control shapeId="13357" r:id="rId35" name="Drop Down 45">
              <controlPr defaultSize="0" autoLine="0" autoPict="0">
                <anchor moveWithCells="1" sizeWithCells="1">
                  <from>
                    <xdr:col>12</xdr:col>
                    <xdr:colOff>28575</xdr:colOff>
                    <xdr:row>39</xdr:row>
                    <xdr:rowOff>9525</xdr:rowOff>
                  </from>
                  <to>
                    <xdr:col>17</xdr:col>
                    <xdr:colOff>161925</xdr:colOff>
                    <xdr:row>39</xdr:row>
                    <xdr:rowOff>238125</xdr:rowOff>
                  </to>
                </anchor>
              </controlPr>
            </control>
          </mc:Choice>
        </mc:AlternateContent>
        <mc:AlternateContent xmlns:mc="http://schemas.openxmlformats.org/markup-compatibility/2006">
          <mc:Choice Requires="x14">
            <control shapeId="13343" r:id="rId36" name="Drop Down 31">
              <controlPr defaultSize="0" autoLine="0" autoPict="0">
                <anchor moveWithCells="1" sizeWithCells="1">
                  <from>
                    <xdr:col>17</xdr:col>
                    <xdr:colOff>190500</xdr:colOff>
                    <xdr:row>35</xdr:row>
                    <xdr:rowOff>9525</xdr:rowOff>
                  </from>
                  <to>
                    <xdr:col>26</xdr:col>
                    <xdr:colOff>238125</xdr:colOff>
                    <xdr:row>35</xdr:row>
                    <xdr:rowOff>238125</xdr:rowOff>
                  </to>
                </anchor>
              </controlPr>
            </control>
          </mc:Choice>
        </mc:AlternateContent>
        <mc:AlternateContent xmlns:mc="http://schemas.openxmlformats.org/markup-compatibility/2006">
          <mc:Choice Requires="x14">
            <control shapeId="13344" r:id="rId37" name="Drop Down 32">
              <controlPr defaultSize="0" autoLine="0" autoPict="0">
                <anchor moveWithCells="1" sizeWithCells="1">
                  <from>
                    <xdr:col>5</xdr:col>
                    <xdr:colOff>9525</xdr:colOff>
                    <xdr:row>35</xdr:row>
                    <xdr:rowOff>9525</xdr:rowOff>
                  </from>
                  <to>
                    <xdr:col>12</xdr:col>
                    <xdr:colOff>0</xdr:colOff>
                    <xdr:row>35</xdr:row>
                    <xdr:rowOff>238125</xdr:rowOff>
                  </to>
                </anchor>
              </controlPr>
            </control>
          </mc:Choice>
        </mc:AlternateContent>
        <mc:AlternateContent xmlns:mc="http://schemas.openxmlformats.org/markup-compatibility/2006">
          <mc:Choice Requires="x14">
            <control shapeId="13345" r:id="rId38" name="Drop Down 33">
              <controlPr defaultSize="0" autoLine="0" autoPict="0">
                <anchor moveWithCells="1" sizeWithCells="1">
                  <from>
                    <xdr:col>12</xdr:col>
                    <xdr:colOff>28575</xdr:colOff>
                    <xdr:row>35</xdr:row>
                    <xdr:rowOff>9525</xdr:rowOff>
                  </from>
                  <to>
                    <xdr:col>17</xdr:col>
                    <xdr:colOff>161925</xdr:colOff>
                    <xdr:row>35</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sheetPr>
  <dimension ref="B1:AE75"/>
  <sheetViews>
    <sheetView showGridLines="0" showRowColHeaders="0" zoomScaleNormal="100" workbookViewId="0">
      <selection activeCell="C4" sqref="C4:AD4"/>
    </sheetView>
  </sheetViews>
  <sheetFormatPr defaultRowHeight="12.75" x14ac:dyDescent="0.2"/>
  <cols>
    <col min="1" max="1" width="1.42578125" customWidth="1"/>
    <col min="2" max="2" width="0.7109375" customWidth="1"/>
    <col min="3" max="4" width="1.42578125" customWidth="1"/>
    <col min="5" max="11" width="3.7109375" customWidth="1"/>
    <col min="12" max="14" width="3.28515625" customWidth="1"/>
    <col min="15" max="23" width="3.5703125" customWidth="1"/>
    <col min="24" max="25" width="1.42578125" customWidth="1"/>
    <col min="26" max="29" width="3.7109375" customWidth="1"/>
    <col min="30" max="30" width="2.28515625" customWidth="1"/>
    <col min="31" max="31" width="0.7109375" customWidth="1"/>
    <col min="32" max="35" width="4.28515625" customWidth="1"/>
    <col min="36" max="40" width="3.7109375" customWidth="1"/>
    <col min="41" max="43" width="7.28515625" customWidth="1"/>
    <col min="44" max="48" width="3.7109375" customWidth="1"/>
    <col min="49" max="49" width="0.7109375" customWidth="1"/>
    <col min="50" max="54" width="3.7109375" customWidth="1"/>
  </cols>
  <sheetData>
    <row r="1" spans="2:31" ht="13.5" thickBot="1" x14ac:dyDescent="0.25"/>
    <row r="2" spans="2:31" ht="5.0999999999999996" customHeight="1" thickBot="1" x14ac:dyDescent="0.25">
      <c r="B2" s="11"/>
      <c r="C2" s="9"/>
      <c r="D2" s="9"/>
      <c r="E2" s="9"/>
      <c r="F2" s="9"/>
      <c r="G2" s="9"/>
      <c r="H2" s="9"/>
      <c r="I2" s="9"/>
      <c r="J2" s="9"/>
      <c r="K2" s="9"/>
      <c r="L2" s="9"/>
      <c r="M2" s="9"/>
      <c r="N2" s="9"/>
      <c r="O2" s="9"/>
      <c r="P2" s="9"/>
      <c r="Q2" s="9"/>
      <c r="R2" s="9"/>
      <c r="S2" s="9"/>
      <c r="T2" s="9"/>
      <c r="U2" s="9"/>
      <c r="V2" s="9"/>
      <c r="W2" s="9"/>
      <c r="X2" s="9"/>
      <c r="Y2" s="9"/>
      <c r="Z2" s="9"/>
      <c r="AA2" s="9"/>
      <c r="AB2" s="9"/>
      <c r="AC2" s="9"/>
      <c r="AD2" s="9"/>
      <c r="AE2" s="12"/>
    </row>
    <row r="3" spans="2:31" x14ac:dyDescent="0.2">
      <c r="B3" s="10"/>
      <c r="C3" s="137"/>
      <c r="D3" s="137"/>
      <c r="E3" s="137"/>
      <c r="F3" s="137"/>
      <c r="G3" s="137"/>
      <c r="H3" s="137"/>
      <c r="I3" s="137"/>
      <c r="J3" s="137"/>
      <c r="K3" s="137"/>
      <c r="L3" s="137"/>
      <c r="M3" s="137"/>
      <c r="N3" s="137"/>
      <c r="O3" s="137"/>
      <c r="P3" s="137"/>
      <c r="Q3" s="137"/>
      <c r="R3" s="137"/>
      <c r="S3" s="137"/>
      <c r="T3" s="137"/>
      <c r="U3" s="137"/>
      <c r="V3" s="137"/>
      <c r="W3" s="137"/>
      <c r="X3" s="137"/>
      <c r="Y3" s="137"/>
      <c r="Z3" s="206" t="str">
        <f>'Project Data'!R3</f>
        <v xml:space="preserve">OSP Budget Revision Date: </v>
      </c>
      <c r="AA3" s="870">
        <f>Var_SpreadsheetRevisionDate</f>
        <v>44910</v>
      </c>
      <c r="AB3" s="870"/>
      <c r="AC3" s="870"/>
      <c r="AD3" s="137"/>
      <c r="AE3" s="10"/>
    </row>
    <row r="4" spans="2:31" x14ac:dyDescent="0.2">
      <c r="B4" s="10"/>
      <c r="C4" s="605" t="s">
        <v>364</v>
      </c>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7"/>
      <c r="AE4" s="10"/>
    </row>
    <row r="5" spans="2:31" x14ac:dyDescent="0.2">
      <c r="B5" s="10"/>
      <c r="C5" s="145"/>
      <c r="D5" s="145"/>
      <c r="E5" s="146" t="s">
        <v>0</v>
      </c>
      <c r="F5" s="145"/>
      <c r="G5" s="145"/>
      <c r="H5" s="145"/>
      <c r="I5" s="145"/>
      <c r="J5" s="145"/>
      <c r="K5" s="145"/>
      <c r="L5" s="145"/>
      <c r="M5" s="145"/>
      <c r="N5" s="145"/>
      <c r="O5" s="145"/>
      <c r="P5" s="145"/>
      <c r="Q5" s="145"/>
      <c r="R5" s="146">
        <f>Data_PIName</f>
        <v>0</v>
      </c>
      <c r="S5" s="146"/>
      <c r="T5" s="146"/>
      <c r="U5" s="146"/>
      <c r="V5" s="146"/>
      <c r="W5" s="146"/>
      <c r="X5" s="146"/>
      <c r="Y5" s="146"/>
      <c r="Z5" s="146"/>
      <c r="AA5" s="146"/>
      <c r="AB5" s="146"/>
      <c r="AC5" s="146"/>
      <c r="AD5" s="145"/>
      <c r="AE5" s="10"/>
    </row>
    <row r="6" spans="2:31" x14ac:dyDescent="0.2">
      <c r="B6" s="10"/>
      <c r="C6" s="145"/>
      <c r="D6" s="145"/>
      <c r="E6" s="146" t="s">
        <v>477</v>
      </c>
      <c r="F6" s="145"/>
      <c r="G6" s="145"/>
      <c r="H6" s="145"/>
      <c r="I6" s="145"/>
      <c r="J6" s="145"/>
      <c r="K6" s="145"/>
      <c r="L6" s="145"/>
      <c r="M6" s="145"/>
      <c r="N6" s="145"/>
      <c r="O6" s="145"/>
      <c r="P6" s="145"/>
      <c r="Q6" s="145"/>
      <c r="R6" s="610">
        <f>Data_ProjectTitle</f>
        <v>0</v>
      </c>
      <c r="S6" s="610"/>
      <c r="T6" s="610"/>
      <c r="U6" s="610"/>
      <c r="V6" s="610"/>
      <c r="W6" s="610"/>
      <c r="X6" s="610"/>
      <c r="Y6" s="610"/>
      <c r="Z6" s="610"/>
      <c r="AA6" s="610"/>
      <c r="AB6" s="610"/>
      <c r="AC6" s="610"/>
      <c r="AD6" s="145" t="s">
        <v>167</v>
      </c>
      <c r="AE6" s="10"/>
    </row>
    <row r="7" spans="2:31" x14ac:dyDescent="0.2">
      <c r="B7" s="10"/>
      <c r="C7" s="147"/>
      <c r="D7" s="144"/>
      <c r="E7" s="243" t="s">
        <v>442</v>
      </c>
      <c r="F7" s="144"/>
      <c r="G7" s="144"/>
      <c r="H7" s="144"/>
      <c r="I7" s="243">
        <f>IF(Data_ProjectStartDate&gt;=Var_EarliestProjectStartDate,TEXT(Data_ProjectStartDate,"mm/dd/yyyy") &amp; " - " &amp; IF(Data_ProjectEndDate&gt;Data_ProjectStartDate,TEXT(Data_ProjectEndDate,"mm/dd/yyyy"),""),0)</f>
        <v>0</v>
      </c>
      <c r="J7" s="144"/>
      <c r="K7" s="144"/>
      <c r="L7" s="144"/>
      <c r="M7" s="144"/>
      <c r="N7" s="144"/>
      <c r="O7" s="144"/>
      <c r="P7" s="144"/>
      <c r="Q7" s="144"/>
      <c r="R7" s="869"/>
      <c r="S7" s="869"/>
      <c r="T7" s="869"/>
      <c r="U7" s="869"/>
      <c r="V7" s="869"/>
      <c r="W7" s="869"/>
      <c r="X7" s="869"/>
      <c r="Y7" s="869"/>
      <c r="Z7" s="869"/>
      <c r="AA7" s="869"/>
      <c r="AB7" s="869"/>
      <c r="AC7" s="869"/>
      <c r="AD7" s="148"/>
      <c r="AE7" s="10"/>
    </row>
    <row r="8" spans="2:31" x14ac:dyDescent="0.2">
      <c r="B8" s="10"/>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0"/>
    </row>
    <row r="9" spans="2:31" ht="13.5" thickBot="1" x14ac:dyDescent="0.25">
      <c r="B9" s="10"/>
      <c r="C9" s="137"/>
      <c r="D9" s="142" t="s">
        <v>132</v>
      </c>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0"/>
    </row>
    <row r="10" spans="2:31" ht="15" customHeight="1" x14ac:dyDescent="0.2">
      <c r="B10" s="10"/>
      <c r="C10" s="137"/>
      <c r="D10" s="137"/>
      <c r="E10" s="137"/>
      <c r="F10" s="876" t="s">
        <v>26</v>
      </c>
      <c r="G10" s="872"/>
      <c r="H10" s="872"/>
      <c r="I10" s="872"/>
      <c r="J10" s="872"/>
      <c r="K10" s="905"/>
      <c r="L10" s="871" t="s">
        <v>27</v>
      </c>
      <c r="M10" s="872"/>
      <c r="N10" s="905"/>
      <c r="O10" s="871" t="s">
        <v>181</v>
      </c>
      <c r="P10" s="872"/>
      <c r="Q10" s="872"/>
      <c r="R10" s="872"/>
      <c r="S10" s="872"/>
      <c r="T10" s="872"/>
      <c r="U10" s="872"/>
      <c r="V10" s="872"/>
      <c r="W10" s="873"/>
      <c r="X10" s="137"/>
      <c r="Y10" s="137"/>
      <c r="Z10" s="876" t="s">
        <v>117</v>
      </c>
      <c r="AA10" s="872"/>
      <c r="AB10" s="872"/>
      <c r="AC10" s="873"/>
      <c r="AD10" s="137"/>
      <c r="AE10" s="10"/>
    </row>
    <row r="11" spans="2:31" ht="15" customHeight="1" thickBot="1" x14ac:dyDescent="0.25">
      <c r="B11" s="10"/>
      <c r="C11" s="137"/>
      <c r="D11" s="137"/>
      <c r="E11" s="137"/>
      <c r="F11" s="906"/>
      <c r="G11" s="875"/>
      <c r="H11" s="875"/>
      <c r="I11" s="875"/>
      <c r="J11" s="875"/>
      <c r="K11" s="907"/>
      <c r="L11" s="874"/>
      <c r="M11" s="875"/>
      <c r="N11" s="907"/>
      <c r="O11" s="874" t="s">
        <v>184</v>
      </c>
      <c r="P11" s="875"/>
      <c r="Q11" s="875"/>
      <c r="R11" s="875" t="s">
        <v>183</v>
      </c>
      <c r="S11" s="875"/>
      <c r="T11" s="875"/>
      <c r="U11" s="875" t="s">
        <v>182</v>
      </c>
      <c r="V11" s="875"/>
      <c r="W11" s="877"/>
      <c r="X11" s="137"/>
      <c r="Y11" s="137"/>
      <c r="Z11" s="906"/>
      <c r="AA11" s="875"/>
      <c r="AB11" s="875"/>
      <c r="AC11" s="877"/>
      <c r="AD11" s="137"/>
      <c r="AE11" s="10"/>
    </row>
    <row r="12" spans="2:31" x14ac:dyDescent="0.2">
      <c r="B12" s="10"/>
      <c r="C12" s="137"/>
      <c r="D12" s="137"/>
      <c r="E12" s="149" t="s">
        <v>91</v>
      </c>
      <c r="F12" s="988">
        <f>'Budget Period 1'!F11:K11</f>
        <v>0</v>
      </c>
      <c r="G12" s="989"/>
      <c r="H12" s="989"/>
      <c r="I12" s="989"/>
      <c r="J12" s="989"/>
      <c r="K12" s="990"/>
      <c r="L12" s="991" t="str">
        <f>CHOOSE('Budget Period 1'!L11,"",'Drop-Down_Options'!$B$25,'Drop-Down_Options'!$B$26,'Drop-Down_Options'!$B$27,'Drop-Down_Options'!$B$28)</f>
        <v/>
      </c>
      <c r="M12" s="992"/>
      <c r="N12" s="993"/>
      <c r="O12" s="981">
        <f>CHOOSE('Budget Period 1'!Y11,0,0,0,'Budget Period 1'!AG11) +
CHOOSE('Budget Period 2'!Y11,0,0,0,'Budget Period 2'!AG11) +
CHOOSE('Budget Period 3'!Y11,0,0,0,'Budget Period 3'!AG11) +
CHOOSE('Budget Period 4'!Y11,0,0,0,'Budget Period 4'!AG11) +
CHOOSE('Budget Period 5'!Y11,0,0,0,'Budget Period 5'!AG11) +
CHOOSE('Budget Period 6'!Y11,0,0,0,'Budget Period 6'!AG11)</f>
        <v>0</v>
      </c>
      <c r="P12" s="982"/>
      <c r="Q12" s="983"/>
      <c r="R12" s="981">
        <f>CHOOSE('Budget Period 1'!Y11, 0, 0, 'Budget Period 1'!AG11,0) +
CHOOSE('Budget Period 2'!Y11, 0, 0, 'Budget Period 2'!AG11,0) +
CHOOSE('Budget Period 3'!Y11, 0, 0, 'Budget Period 3'!AG11,0) +
CHOOSE('Budget Period 4'!Y11, 0, 0, 'Budget Period 4'!AG11,0) +
CHOOSE('Budget Period 5'!Y11, 0, 0, 'Budget Period 5'!AG11,0) +
CHOOSE('Budget Period 6'!Y11, 0, 0, 'Budget Period 6'!AG11,0)</f>
        <v>0</v>
      </c>
      <c r="S12" s="982"/>
      <c r="T12" s="983"/>
      <c r="U12" s="984">
        <f>CHOOSE('Budget Period 1'!Y11, 0, 'Budget Period 1'!AG11, 0, 0) +
CHOOSE('Budget Period 2'!Y11, 0, 'Budget Period 2'!AG11, 0, 0) +
CHOOSE('Budget Period 3'!Y11, 0, 'Budget Period 3'!AG11, 0, 0) +
CHOOSE('Budget Period 4'!Y11, 0, 'Budget Period 4'!AG11, 0, 0) +
CHOOSE('Budget Period 5'!Y11, 0, 'Budget Period 5'!AG11, 0, 0) +
CHOOSE('Budget Period 6'!Y11, 0, 'Budget Period 6'!AG11, 0, 0)</f>
        <v>0</v>
      </c>
      <c r="V12" s="985"/>
      <c r="W12" s="986"/>
      <c r="X12" s="137"/>
      <c r="Y12" s="137"/>
      <c r="Z12" s="987">
        <f>'Budget Period 1'!AI11 + 'Budget Period 2'!AI11 + 'Budget Period 3'!AI11+ 'Budget Period 4'!AI11+ 'Budget Period 5'!AI11+ 'Budget Period 6'!AI11</f>
        <v>0</v>
      </c>
      <c r="AA12" s="603"/>
      <c r="AB12" s="603"/>
      <c r="AC12" s="611"/>
      <c r="AD12" s="137"/>
      <c r="AE12" s="10"/>
    </row>
    <row r="13" spans="2:31" x14ac:dyDescent="0.2">
      <c r="B13" s="10"/>
      <c r="C13" s="137"/>
      <c r="D13" s="137"/>
      <c r="E13" s="149" t="s">
        <v>92</v>
      </c>
      <c r="F13" s="899">
        <f>'Budget Period 1'!F12:K12</f>
        <v>0</v>
      </c>
      <c r="G13" s="900"/>
      <c r="H13" s="900"/>
      <c r="I13" s="900"/>
      <c r="J13" s="900"/>
      <c r="K13" s="901"/>
      <c r="L13" s="902" t="str">
        <f>CHOOSE('Budget Period 1'!L12,"",'Drop-Down_Options'!$B$25,'Drop-Down_Options'!$B$26,'Drop-Down_Options'!$B$27,'Drop-Down_Options'!$B$28)</f>
        <v/>
      </c>
      <c r="M13" s="903"/>
      <c r="N13" s="904"/>
      <c r="O13" s="878">
        <f>CHOOSE('Budget Period 1'!Y12,0,0,0,'Budget Period 1'!AG12) +
CHOOSE('Budget Period 2'!Y12,0,0,0,'Budget Period 2'!AG12) +
CHOOSE('Budget Period 3'!Y12,0,0,0,'Budget Period 3'!AG12) +
CHOOSE('Budget Period 4'!Y12,0,0,0,'Budget Period 4'!AG12) +
CHOOSE('Budget Period 5'!Y12,0,0,0,'Budget Period 5'!AG12) +
CHOOSE('Budget Period 6'!Y12,0,0,0,'Budget Period 6'!AG12)</f>
        <v>0</v>
      </c>
      <c r="P13" s="879"/>
      <c r="Q13" s="880"/>
      <c r="R13" s="878">
        <f>CHOOSE('Budget Period 1'!Y12, 0, 0, 'Budget Period 1'!AG12,0) +
CHOOSE('Budget Period 2'!Y12, 0, 0, 'Budget Period 2'!AG12,0) +
CHOOSE('Budget Period 3'!Y12, 0, 0, 'Budget Period 3'!AG12,0) +
CHOOSE('Budget Period 4'!Y12, 0, 0, 'Budget Period 4'!AG12,0) +
CHOOSE('Budget Period 5'!Y12, 0, 0, 'Budget Period 5'!AG12,0) +
CHOOSE('Budget Period 6'!Y12, 0, 0, 'Budget Period 6'!AG12,0)</f>
        <v>0</v>
      </c>
      <c r="S13" s="879"/>
      <c r="T13" s="880"/>
      <c r="U13" s="896">
        <f>CHOOSE('Budget Period 1'!Y12, 0, 'Budget Period 1'!AG12, 0, 0) +
CHOOSE('Budget Period 2'!Y12, 0, 'Budget Period 2'!AG12, 0, 0) +
CHOOSE('Budget Period 3'!Y12, 0, 'Budget Period 3'!AG12, 0, 0) +
CHOOSE('Budget Period 4'!Y12, 0, 'Budget Period 4'!AG12, 0, 0) +
CHOOSE('Budget Period 5'!Y12, 0, 'Budget Period 5'!AG12, 0, 0) +
CHOOSE('Budget Period 6'!Y12, 0, 'Budget Period 6'!AG12, 0, 0)</f>
        <v>0</v>
      </c>
      <c r="V13" s="897"/>
      <c r="W13" s="898"/>
      <c r="X13" s="137"/>
      <c r="Y13" s="137"/>
      <c r="Z13" s="908">
        <f>'Budget Period 1'!AI12 + 'Budget Period 2'!AI12 + 'Budget Period 3'!AI12+ 'Budget Period 4'!AI12+ 'Budget Period 5'!AI12+ 'Budget Period 6'!AI12</f>
        <v>0</v>
      </c>
      <c r="AA13" s="531"/>
      <c r="AB13" s="531"/>
      <c r="AC13" s="612"/>
      <c r="AD13" s="137"/>
      <c r="AE13" s="10"/>
    </row>
    <row r="14" spans="2:31" x14ac:dyDescent="0.2">
      <c r="B14" s="10"/>
      <c r="C14" s="137"/>
      <c r="D14" s="137"/>
      <c r="E14" s="149" t="s">
        <v>93</v>
      </c>
      <c r="F14" s="899">
        <f>'Budget Period 1'!F13:K13</f>
        <v>0</v>
      </c>
      <c r="G14" s="900"/>
      <c r="H14" s="900"/>
      <c r="I14" s="900"/>
      <c r="J14" s="900"/>
      <c r="K14" s="901"/>
      <c r="L14" s="902" t="str">
        <f>CHOOSE('Budget Period 1'!L13,"",'Drop-Down_Options'!$B$25,'Drop-Down_Options'!$B$26,'Drop-Down_Options'!$B$27,'Drop-Down_Options'!$B$28)</f>
        <v/>
      </c>
      <c r="M14" s="903"/>
      <c r="N14" s="904"/>
      <c r="O14" s="878">
        <f>CHOOSE('Budget Period 1'!Y13,0,0,0,'Budget Period 1'!AG13) +
CHOOSE('Budget Period 2'!Y13,0,0,0,'Budget Period 2'!AG13) +
CHOOSE('Budget Period 3'!Y13,0,0,0,'Budget Period 3'!AG13) +
CHOOSE('Budget Period 4'!Y13,0,0,0,'Budget Period 4'!AG13) +
CHOOSE('Budget Period 5'!Y13,0,0,0,'Budget Period 5'!AG13) +
CHOOSE('Budget Period 6'!Y13,0,0,0,'Budget Period 6'!AG13)</f>
        <v>0</v>
      </c>
      <c r="P14" s="879"/>
      <c r="Q14" s="880"/>
      <c r="R14" s="878">
        <f>CHOOSE('Budget Period 1'!Y13, 0, 0, 'Budget Period 1'!AG13,0) +
CHOOSE('Budget Period 2'!Y13, 0, 0, 'Budget Period 2'!AG13,0) +
CHOOSE('Budget Period 3'!Y13, 0, 0, 'Budget Period 3'!AG13,0) +
CHOOSE('Budget Period 4'!Y13, 0, 0, 'Budget Period 4'!AG13,0) +
CHOOSE('Budget Period 5'!Y13, 0, 0, 'Budget Period 5'!AG13,0) +
CHOOSE('Budget Period 6'!Y13, 0, 0, 'Budget Period 6'!AG13,0)</f>
        <v>0</v>
      </c>
      <c r="S14" s="879"/>
      <c r="T14" s="880"/>
      <c r="U14" s="896">
        <f>CHOOSE('Budget Period 1'!Y13, 0, 'Budget Period 1'!AG13, 0, 0) +
CHOOSE('Budget Period 2'!Y13, 0, 'Budget Period 2'!AG13, 0, 0) +
CHOOSE('Budget Period 3'!Y13, 0, 'Budget Period 3'!AG13, 0, 0) +
CHOOSE('Budget Period 4'!Y13, 0, 'Budget Period 4'!AG13, 0, 0) +
CHOOSE('Budget Period 5'!Y13, 0, 'Budget Period 5'!AG13, 0, 0) +
CHOOSE('Budget Period 6'!Y13, 0, 'Budget Period 6'!AG13, 0, 0)</f>
        <v>0</v>
      </c>
      <c r="V14" s="897"/>
      <c r="W14" s="898"/>
      <c r="X14" s="137"/>
      <c r="Y14" s="137"/>
      <c r="Z14" s="908">
        <f>'Budget Period 1'!AI13 + 'Budget Period 2'!AI13 + 'Budget Period 3'!AI13+ 'Budget Period 4'!AI13+ 'Budget Period 5'!AI13+ 'Budget Period 6'!AI13</f>
        <v>0</v>
      </c>
      <c r="AA14" s="531"/>
      <c r="AB14" s="531"/>
      <c r="AC14" s="612"/>
      <c r="AD14" s="137"/>
      <c r="AE14" s="10"/>
    </row>
    <row r="15" spans="2:31" x14ac:dyDescent="0.2">
      <c r="B15" s="10"/>
      <c r="C15" s="137"/>
      <c r="D15" s="137"/>
      <c r="E15" s="149" t="s">
        <v>94</v>
      </c>
      <c r="F15" s="899">
        <f>'Budget Period 1'!F14:K14</f>
        <v>0</v>
      </c>
      <c r="G15" s="900"/>
      <c r="H15" s="900"/>
      <c r="I15" s="900"/>
      <c r="J15" s="900"/>
      <c r="K15" s="901"/>
      <c r="L15" s="902" t="str">
        <f>CHOOSE('Budget Period 1'!L14,"",'Drop-Down_Options'!$B$25,'Drop-Down_Options'!$B$26,'Drop-Down_Options'!$B$27,'Drop-Down_Options'!$B$28)</f>
        <v/>
      </c>
      <c r="M15" s="903"/>
      <c r="N15" s="904"/>
      <c r="O15" s="878">
        <f>CHOOSE('Budget Period 1'!Y14,0,0,0,'Budget Period 1'!AG14) +
CHOOSE('Budget Period 2'!Y14,0,0,0,'Budget Period 2'!AG14) +
CHOOSE('Budget Period 3'!Y14,0,0,0,'Budget Period 3'!AG14) +
CHOOSE('Budget Period 4'!Y14,0,0,0,'Budget Period 4'!AG14) +
CHOOSE('Budget Period 5'!Y14,0,0,0,'Budget Period 5'!AG14) +
CHOOSE('Budget Period 6'!Y14,0,0,0,'Budget Period 6'!AG14)</f>
        <v>0</v>
      </c>
      <c r="P15" s="879"/>
      <c r="Q15" s="880"/>
      <c r="R15" s="878">
        <f>CHOOSE('Budget Period 1'!Y14, 0, 0, 'Budget Period 1'!AG14,0) +
CHOOSE('Budget Period 2'!Y14, 0, 0, 'Budget Period 2'!AG14,0) +
CHOOSE('Budget Period 3'!Y14, 0, 0, 'Budget Period 3'!AG14,0) +
CHOOSE('Budget Period 4'!Y14, 0, 0, 'Budget Period 4'!AG14,0) +
CHOOSE('Budget Period 5'!Y14, 0, 0, 'Budget Period 5'!AG14,0) +
CHOOSE('Budget Period 6'!Y14, 0, 0, 'Budget Period 6'!AG14,0)</f>
        <v>0</v>
      </c>
      <c r="S15" s="879"/>
      <c r="T15" s="880"/>
      <c r="U15" s="896">
        <f>CHOOSE('Budget Period 1'!Y14, 0, 'Budget Period 1'!AG14, 0, 0) +
CHOOSE('Budget Period 2'!Y14, 0, 'Budget Period 2'!AG14, 0, 0) +
CHOOSE('Budget Period 3'!Y14, 0, 'Budget Period 3'!AG14, 0, 0) +
CHOOSE('Budget Period 4'!Y14, 0, 'Budget Period 4'!AG14, 0, 0) +
CHOOSE('Budget Period 5'!Y14, 0, 'Budget Period 5'!AG14, 0, 0) +
CHOOSE('Budget Period 6'!Y14, 0, 'Budget Period 6'!AG14, 0, 0)</f>
        <v>0</v>
      </c>
      <c r="V15" s="897"/>
      <c r="W15" s="898"/>
      <c r="X15" s="137"/>
      <c r="Y15" s="137"/>
      <c r="Z15" s="908">
        <f>'Budget Period 1'!AI14 + 'Budget Period 2'!AI14 + 'Budget Period 3'!AI14+ 'Budget Period 4'!AI14+ 'Budget Period 5'!AI14+ 'Budget Period 6'!AI14</f>
        <v>0</v>
      </c>
      <c r="AA15" s="531"/>
      <c r="AB15" s="531"/>
      <c r="AC15" s="612"/>
      <c r="AD15" s="137"/>
      <c r="AE15" s="10"/>
    </row>
    <row r="16" spans="2:31" x14ac:dyDescent="0.2">
      <c r="B16" s="10"/>
      <c r="C16" s="137"/>
      <c r="D16" s="137"/>
      <c r="E16" s="149" t="s">
        <v>95</v>
      </c>
      <c r="F16" s="899">
        <f>'Budget Period 1'!F15:K15</f>
        <v>0</v>
      </c>
      <c r="G16" s="900"/>
      <c r="H16" s="900"/>
      <c r="I16" s="900"/>
      <c r="J16" s="900"/>
      <c r="K16" s="901"/>
      <c r="L16" s="902" t="str">
        <f>CHOOSE('Budget Period 1'!L15,"",'Drop-Down_Options'!$B$25,'Drop-Down_Options'!$B$26,'Drop-Down_Options'!$B$27,'Drop-Down_Options'!$B$28)</f>
        <v/>
      </c>
      <c r="M16" s="903"/>
      <c r="N16" s="904"/>
      <c r="O16" s="878">
        <f>CHOOSE('Budget Period 1'!Y15,0,0,0,'Budget Period 1'!AG15) +
CHOOSE('Budget Period 2'!Y15,0,0,0,'Budget Period 2'!AG15) +
CHOOSE('Budget Period 3'!Y15,0,0,0,'Budget Period 3'!AG15) +
CHOOSE('Budget Period 4'!Y15,0,0,0,'Budget Period 4'!AG15) +
CHOOSE('Budget Period 5'!Y15,0,0,0,'Budget Period 5'!AG15) +
CHOOSE('Budget Period 6'!Y15,0,0,0,'Budget Period 6'!AG15)</f>
        <v>0</v>
      </c>
      <c r="P16" s="879"/>
      <c r="Q16" s="880"/>
      <c r="R16" s="878">
        <f>CHOOSE('Budget Period 1'!Y15, 0, 0, 'Budget Period 1'!AG15,0) +
CHOOSE('Budget Period 2'!Y15, 0, 0, 'Budget Period 2'!AG15,0) +
CHOOSE('Budget Period 3'!Y15, 0, 0, 'Budget Period 3'!AG15,0) +
CHOOSE('Budget Period 4'!Y15, 0, 0, 'Budget Period 4'!AG15,0) +
CHOOSE('Budget Period 5'!Y15, 0, 0, 'Budget Period 5'!AG15,0) +
CHOOSE('Budget Period 6'!Y15, 0, 0, 'Budget Period 6'!AG15,0)</f>
        <v>0</v>
      </c>
      <c r="S16" s="879"/>
      <c r="T16" s="880"/>
      <c r="U16" s="896">
        <f>CHOOSE('Budget Period 1'!Y15, 0, 'Budget Period 1'!AG15, 0, 0) +
CHOOSE('Budget Period 2'!Y15, 0, 'Budget Period 2'!AG15, 0, 0) +
CHOOSE('Budget Period 3'!Y15, 0, 'Budget Period 3'!AG15, 0, 0) +
CHOOSE('Budget Period 4'!Y15, 0, 'Budget Period 4'!AG15, 0, 0) +
CHOOSE('Budget Period 5'!Y15, 0, 'Budget Period 5'!AG15, 0, 0) +
CHOOSE('Budget Period 6'!Y15, 0, 'Budget Period 6'!AG15, 0, 0)</f>
        <v>0</v>
      </c>
      <c r="V16" s="897"/>
      <c r="W16" s="898"/>
      <c r="X16" s="137"/>
      <c r="Y16" s="137"/>
      <c r="Z16" s="908">
        <f>'Budget Period 1'!AI15 + 'Budget Period 2'!AI15 + 'Budget Period 3'!AI15+ 'Budget Period 4'!AI15+ 'Budget Period 5'!AI15+ 'Budget Period 6'!AI15</f>
        <v>0</v>
      </c>
      <c r="AA16" s="531"/>
      <c r="AB16" s="531"/>
      <c r="AC16" s="612"/>
      <c r="AD16" s="137"/>
      <c r="AE16" s="10"/>
    </row>
    <row r="17" spans="2:31" x14ac:dyDescent="0.2">
      <c r="B17" s="10"/>
      <c r="C17" s="137"/>
      <c r="D17" s="137"/>
      <c r="E17" s="149" t="s">
        <v>96</v>
      </c>
      <c r="F17" s="899">
        <f>'Budget Period 1'!F16:K16</f>
        <v>0</v>
      </c>
      <c r="G17" s="900"/>
      <c r="H17" s="900"/>
      <c r="I17" s="900"/>
      <c r="J17" s="900"/>
      <c r="K17" s="901"/>
      <c r="L17" s="902" t="str">
        <f>CHOOSE('Budget Period 1'!L16,"",'Drop-Down_Options'!$B$25,'Drop-Down_Options'!$B$26,'Drop-Down_Options'!$B$27,'Drop-Down_Options'!$B$28)</f>
        <v/>
      </c>
      <c r="M17" s="903"/>
      <c r="N17" s="904"/>
      <c r="O17" s="878">
        <f>CHOOSE('Budget Period 1'!Y16,0,0,0,'Budget Period 1'!AG16) +
CHOOSE('Budget Period 2'!Y16,0,0,0,'Budget Period 2'!AG16) +
CHOOSE('Budget Period 3'!Y16,0,0,0,'Budget Period 3'!AG16) +
CHOOSE('Budget Period 4'!Y16,0,0,0,'Budget Period 4'!AG16) +
CHOOSE('Budget Period 5'!Y16,0,0,0,'Budget Period 5'!AG16) +
CHOOSE('Budget Period 6'!Y16,0,0,0,'Budget Period 6'!AG16)</f>
        <v>0</v>
      </c>
      <c r="P17" s="879"/>
      <c r="Q17" s="880"/>
      <c r="R17" s="878">
        <f>CHOOSE('Budget Period 1'!Y16, 0, 0, 'Budget Period 1'!AG16,0) +
CHOOSE('Budget Period 2'!Y16, 0, 0, 'Budget Period 2'!AG16,0) +
CHOOSE('Budget Period 3'!Y16, 0, 0, 'Budget Period 3'!AG16,0) +
CHOOSE('Budget Period 4'!Y16, 0, 0, 'Budget Period 4'!AG16,0) +
CHOOSE('Budget Period 5'!Y16, 0, 0, 'Budget Period 5'!AG16,0) +
CHOOSE('Budget Period 6'!Y16, 0, 0, 'Budget Period 6'!AG16,0)</f>
        <v>0</v>
      </c>
      <c r="S17" s="879"/>
      <c r="T17" s="880"/>
      <c r="U17" s="896">
        <f>CHOOSE('Budget Period 1'!Y16, 0, 'Budget Period 1'!AG16, 0, 0) +
CHOOSE('Budget Period 2'!Y16, 0, 'Budget Period 2'!AG16, 0, 0) +
CHOOSE('Budget Period 3'!Y16, 0, 'Budget Period 3'!AG16, 0, 0) +
CHOOSE('Budget Period 4'!Y16, 0, 'Budget Period 4'!AG16, 0, 0) +
CHOOSE('Budget Period 5'!Y16, 0, 'Budget Period 5'!AG16, 0, 0) +
CHOOSE('Budget Period 6'!Y16, 0, 'Budget Period 6'!AG16, 0, 0)</f>
        <v>0</v>
      </c>
      <c r="V17" s="897"/>
      <c r="W17" s="898"/>
      <c r="X17" s="137"/>
      <c r="Y17" s="137"/>
      <c r="Z17" s="908">
        <f>'Budget Period 1'!AI16 + 'Budget Period 2'!AI16 + 'Budget Period 3'!AI16+ 'Budget Period 4'!AI16+ 'Budget Period 5'!AI16+ 'Budget Period 6'!AI16</f>
        <v>0</v>
      </c>
      <c r="AA17" s="531"/>
      <c r="AB17" s="531"/>
      <c r="AC17" s="612"/>
      <c r="AD17" s="137"/>
      <c r="AE17" s="10"/>
    </row>
    <row r="18" spans="2:31" x14ac:dyDescent="0.2">
      <c r="B18" s="10"/>
      <c r="C18" s="137"/>
      <c r="D18" s="137"/>
      <c r="E18" s="149" t="s">
        <v>97</v>
      </c>
      <c r="F18" s="899">
        <f>'Budget Period 1'!F17:K17</f>
        <v>0</v>
      </c>
      <c r="G18" s="900"/>
      <c r="H18" s="900"/>
      <c r="I18" s="900"/>
      <c r="J18" s="900"/>
      <c r="K18" s="901"/>
      <c r="L18" s="902" t="str">
        <f>CHOOSE('Budget Period 1'!L17,"",'Drop-Down_Options'!$B$25,'Drop-Down_Options'!$B$26,'Drop-Down_Options'!$B$27,'Drop-Down_Options'!$B$28)</f>
        <v/>
      </c>
      <c r="M18" s="903"/>
      <c r="N18" s="904"/>
      <c r="O18" s="878">
        <f>CHOOSE('Budget Period 1'!Y17,0,0,0,'Budget Period 1'!AG17) +
CHOOSE('Budget Period 2'!Y17,0,0,0,'Budget Period 2'!AG17) +
CHOOSE('Budget Period 3'!Y17,0,0,0,'Budget Period 3'!AG17) +
CHOOSE('Budget Period 4'!Y17,0,0,0,'Budget Period 4'!AG17) +
CHOOSE('Budget Period 5'!Y17,0,0,0,'Budget Period 5'!AG17) +
CHOOSE('Budget Period 6'!Y17,0,0,0,'Budget Period 6'!AG17)</f>
        <v>0</v>
      </c>
      <c r="P18" s="879"/>
      <c r="Q18" s="880"/>
      <c r="R18" s="878">
        <f>CHOOSE('Budget Period 1'!Y17, 0, 0, 'Budget Period 1'!AG17,0) +
CHOOSE('Budget Period 2'!Y17, 0, 0, 'Budget Period 2'!AG17,0) +
CHOOSE('Budget Period 3'!Y17, 0, 0, 'Budget Period 3'!AG17,0) +
CHOOSE('Budget Period 4'!Y17, 0, 0, 'Budget Period 4'!AG17,0) +
CHOOSE('Budget Period 5'!Y17, 0, 0, 'Budget Period 5'!AG17,0) +
CHOOSE('Budget Period 6'!Y17, 0, 0, 'Budget Period 6'!AG17,0)</f>
        <v>0</v>
      </c>
      <c r="S18" s="879"/>
      <c r="T18" s="880"/>
      <c r="U18" s="896">
        <f>CHOOSE('Budget Period 1'!Y17, 0, 'Budget Period 1'!AG17, 0, 0) +
CHOOSE('Budget Period 2'!Y17, 0, 'Budget Period 2'!AG17, 0, 0) +
CHOOSE('Budget Period 3'!Y17, 0, 'Budget Period 3'!AG17, 0, 0) +
CHOOSE('Budget Period 4'!Y17, 0, 'Budget Period 4'!AG17, 0, 0) +
CHOOSE('Budget Period 5'!Y17, 0, 'Budget Period 5'!AG17, 0, 0) +
CHOOSE('Budget Period 6'!Y17, 0, 'Budget Period 6'!AG17, 0, 0)</f>
        <v>0</v>
      </c>
      <c r="V18" s="897"/>
      <c r="W18" s="898"/>
      <c r="X18" s="137"/>
      <c r="Y18" s="137"/>
      <c r="Z18" s="908">
        <f>'Budget Period 1'!AI17 + 'Budget Period 2'!AI17 + 'Budget Period 3'!AI17+ 'Budget Period 4'!AI17+ 'Budget Period 5'!AI17+ 'Budget Period 6'!AI17</f>
        <v>0</v>
      </c>
      <c r="AA18" s="531"/>
      <c r="AB18" s="531"/>
      <c r="AC18" s="612"/>
      <c r="AD18" s="137"/>
      <c r="AE18" s="10"/>
    </row>
    <row r="19" spans="2:31" x14ac:dyDescent="0.2">
      <c r="B19" s="10"/>
      <c r="C19" s="137"/>
      <c r="D19" s="137"/>
      <c r="E19" s="149" t="s">
        <v>98</v>
      </c>
      <c r="F19" s="899">
        <f>'Budget Period 1'!F18:K18</f>
        <v>0</v>
      </c>
      <c r="G19" s="900"/>
      <c r="H19" s="900"/>
      <c r="I19" s="900"/>
      <c r="J19" s="900"/>
      <c r="K19" s="901"/>
      <c r="L19" s="902" t="str">
        <f>CHOOSE('Budget Period 1'!L18,"",'Drop-Down_Options'!$B$25,'Drop-Down_Options'!$B$26,'Drop-Down_Options'!$B$27,'Drop-Down_Options'!$B$28)</f>
        <v/>
      </c>
      <c r="M19" s="903"/>
      <c r="N19" s="904"/>
      <c r="O19" s="878">
        <f>CHOOSE('Budget Period 1'!Y18,0,0,0,'Budget Period 1'!AG18) +
CHOOSE('Budget Period 2'!Y18,0,0,0,'Budget Period 2'!AG18) +
CHOOSE('Budget Period 3'!Y18,0,0,0,'Budget Period 3'!AG18) +
CHOOSE('Budget Period 4'!Y18,0,0,0,'Budget Period 4'!AG18) +
CHOOSE('Budget Period 5'!Y18,0,0,0,'Budget Period 5'!AG18) +
CHOOSE('Budget Period 6'!Y18,0,0,0,'Budget Period 6'!AG18)</f>
        <v>0</v>
      </c>
      <c r="P19" s="879"/>
      <c r="Q19" s="880"/>
      <c r="R19" s="878">
        <f>CHOOSE('Budget Period 1'!Y18, 0, 0, 'Budget Period 1'!AG18,0) +
CHOOSE('Budget Period 2'!Y18, 0, 0, 'Budget Period 2'!AG18,0) +
CHOOSE('Budget Period 3'!Y18, 0, 0, 'Budget Period 3'!AG18,0) +
CHOOSE('Budget Period 4'!Y18, 0, 0, 'Budget Period 4'!AG18,0) +
CHOOSE('Budget Period 5'!Y18, 0, 0, 'Budget Period 5'!AG18,0) +
CHOOSE('Budget Period 6'!Y18, 0, 0, 'Budget Period 6'!AG18,0)</f>
        <v>0</v>
      </c>
      <c r="S19" s="879"/>
      <c r="T19" s="880"/>
      <c r="U19" s="896">
        <f>CHOOSE('Budget Period 1'!Y18, 0, 'Budget Period 1'!AG18, 0, 0) +
CHOOSE('Budget Period 2'!Y18, 0, 'Budget Period 2'!AG18, 0, 0) +
CHOOSE('Budget Period 3'!Y18, 0, 'Budget Period 3'!AG18, 0, 0) +
CHOOSE('Budget Period 4'!Y18, 0, 'Budget Period 4'!AG18, 0, 0) +
CHOOSE('Budget Period 5'!Y18, 0, 'Budget Period 5'!AG18, 0, 0) +
CHOOSE('Budget Period 6'!Y18, 0, 'Budget Period 6'!AG18, 0, 0)</f>
        <v>0</v>
      </c>
      <c r="V19" s="897"/>
      <c r="W19" s="898"/>
      <c r="X19" s="137"/>
      <c r="Y19" s="137"/>
      <c r="Z19" s="908">
        <f>'Budget Period 1'!AI18 + 'Budget Period 2'!AI18 + 'Budget Period 3'!AI18+ 'Budget Period 4'!AI18+ 'Budget Period 5'!AI18+ 'Budget Period 6'!AI18</f>
        <v>0</v>
      </c>
      <c r="AA19" s="531"/>
      <c r="AB19" s="531"/>
      <c r="AC19" s="612"/>
      <c r="AD19" s="137"/>
      <c r="AE19" s="10"/>
    </row>
    <row r="20" spans="2:31" x14ac:dyDescent="0.2">
      <c r="B20" s="10"/>
      <c r="C20" s="137"/>
      <c r="D20" s="137"/>
      <c r="E20" s="149" t="s">
        <v>99</v>
      </c>
      <c r="F20" s="899">
        <f>'Budget Period 1'!F19:K19</f>
        <v>0</v>
      </c>
      <c r="G20" s="900"/>
      <c r="H20" s="900"/>
      <c r="I20" s="900"/>
      <c r="J20" s="900"/>
      <c r="K20" s="901"/>
      <c r="L20" s="902" t="str">
        <f>CHOOSE('Budget Period 1'!L19,"",'Drop-Down_Options'!$B$25,'Drop-Down_Options'!$B$26,'Drop-Down_Options'!$B$27,'Drop-Down_Options'!$B$28)</f>
        <v/>
      </c>
      <c r="M20" s="903"/>
      <c r="N20" s="904"/>
      <c r="O20" s="878">
        <f>CHOOSE('Budget Period 1'!Y19,0,0,0,'Budget Period 1'!AG19) +
CHOOSE('Budget Period 2'!Y19,0,0,0,'Budget Period 2'!AG19) +
CHOOSE('Budget Period 3'!Y19,0,0,0,'Budget Period 3'!AG19) +
CHOOSE('Budget Period 4'!Y19,0,0,0,'Budget Period 4'!AG19) +
CHOOSE('Budget Period 5'!Y19,0,0,0,'Budget Period 5'!AG19) +
CHOOSE('Budget Period 6'!Y19,0,0,0,'Budget Period 6'!AG19)</f>
        <v>0</v>
      </c>
      <c r="P20" s="879"/>
      <c r="Q20" s="880"/>
      <c r="R20" s="878">
        <f>CHOOSE('Budget Period 1'!Y19, 0, 0, 'Budget Period 1'!AG19,0) +
CHOOSE('Budget Period 2'!Y19, 0, 0, 'Budget Period 2'!AG19,0) +
CHOOSE('Budget Period 3'!Y19, 0, 0, 'Budget Period 3'!AG19,0) +
CHOOSE('Budget Period 4'!Y19, 0, 0, 'Budget Period 4'!AG19,0) +
CHOOSE('Budget Period 5'!Y19, 0, 0, 'Budget Period 5'!AG19,0) +
CHOOSE('Budget Period 6'!Y19, 0, 0, 'Budget Period 6'!AG19,0)</f>
        <v>0</v>
      </c>
      <c r="S20" s="879"/>
      <c r="T20" s="880"/>
      <c r="U20" s="896">
        <f>CHOOSE('Budget Period 1'!Y19, 0, 'Budget Period 1'!AG19, 0, 0) +
CHOOSE('Budget Period 2'!Y19, 0, 'Budget Period 2'!AG19, 0, 0) +
CHOOSE('Budget Period 3'!Y19, 0, 'Budget Period 3'!AG19, 0, 0) +
CHOOSE('Budget Period 4'!Y19, 0, 'Budget Period 4'!AG19, 0, 0) +
CHOOSE('Budget Period 5'!Y19, 0, 'Budget Period 5'!AG19, 0, 0) +
CHOOSE('Budget Period 6'!Y19, 0, 'Budget Period 6'!AG19, 0, 0)</f>
        <v>0</v>
      </c>
      <c r="V20" s="897"/>
      <c r="W20" s="898"/>
      <c r="X20" s="137"/>
      <c r="Y20" s="137"/>
      <c r="Z20" s="908">
        <f>'Budget Period 1'!AI19 + 'Budget Period 2'!AI19 + 'Budget Period 3'!AI19+ 'Budget Period 4'!AI19+ 'Budget Period 5'!AI19+ 'Budget Period 6'!AI19</f>
        <v>0</v>
      </c>
      <c r="AA20" s="531"/>
      <c r="AB20" s="531"/>
      <c r="AC20" s="612"/>
      <c r="AD20" s="137"/>
      <c r="AE20" s="10"/>
    </row>
    <row r="21" spans="2:31" x14ac:dyDescent="0.2">
      <c r="B21" s="10"/>
      <c r="C21" s="137"/>
      <c r="D21" s="137"/>
      <c r="E21" s="149" t="s">
        <v>141</v>
      </c>
      <c r="F21" s="899">
        <f>'Budget Period 1'!F20:K20</f>
        <v>0</v>
      </c>
      <c r="G21" s="900"/>
      <c r="H21" s="900"/>
      <c r="I21" s="900"/>
      <c r="J21" s="900"/>
      <c r="K21" s="901"/>
      <c r="L21" s="902" t="str">
        <f>CHOOSE('Budget Period 1'!L20,"",'Drop-Down_Options'!$B$25,'Drop-Down_Options'!$B$26,'Drop-Down_Options'!$B$27,'Drop-Down_Options'!$B$28)</f>
        <v/>
      </c>
      <c r="M21" s="903"/>
      <c r="N21" s="904"/>
      <c r="O21" s="878">
        <f>CHOOSE('Budget Period 1'!Y20,0,0,0,'Budget Period 1'!AG20) +
CHOOSE('Budget Period 2'!Y20,0,0,0,'Budget Period 2'!AG20) +
CHOOSE('Budget Period 3'!Y20,0,0,0,'Budget Period 3'!AG20) +
CHOOSE('Budget Period 4'!Y20,0,0,0,'Budget Period 4'!AG20) +
CHOOSE('Budget Period 5'!Y20,0,0,0,'Budget Period 5'!AG20) +
CHOOSE('Budget Period 6'!Y20,0,0,0,'Budget Period 6'!AG20)</f>
        <v>0</v>
      </c>
      <c r="P21" s="879"/>
      <c r="Q21" s="880"/>
      <c r="R21" s="878">
        <f>CHOOSE('Budget Period 1'!Y20, 0, 0, 'Budget Period 1'!AG20,0) +
CHOOSE('Budget Period 2'!Y20, 0, 0, 'Budget Period 2'!AG20,0) +
CHOOSE('Budget Period 3'!Y20, 0, 0, 'Budget Period 3'!AG20,0) +
CHOOSE('Budget Period 4'!Y20, 0, 0, 'Budget Period 4'!AG20,0) +
CHOOSE('Budget Period 5'!Y20, 0, 0, 'Budget Period 5'!AG20,0) +
CHOOSE('Budget Period 6'!Y20, 0, 0, 'Budget Period 6'!AG20,0)</f>
        <v>0</v>
      </c>
      <c r="S21" s="879"/>
      <c r="T21" s="880"/>
      <c r="U21" s="896">
        <f>CHOOSE('Budget Period 1'!Y20, 0, 'Budget Period 1'!AG20, 0, 0) +
CHOOSE('Budget Period 2'!Y20, 0, 'Budget Period 2'!AG20, 0, 0) +
CHOOSE('Budget Period 3'!Y20, 0, 'Budget Period 3'!AG20, 0, 0) +
CHOOSE('Budget Period 4'!Y20, 0, 'Budget Period 4'!AG20, 0, 0) +
CHOOSE('Budget Period 5'!Y20, 0, 'Budget Period 5'!AG20, 0, 0) +
CHOOSE('Budget Period 6'!Y20, 0, 'Budget Period 6'!AG20, 0, 0)</f>
        <v>0</v>
      </c>
      <c r="V21" s="897"/>
      <c r="W21" s="898"/>
      <c r="X21" s="137"/>
      <c r="Y21" s="137"/>
      <c r="Z21" s="908">
        <f>'Budget Period 1'!AI20 + 'Budget Period 2'!AI20 + 'Budget Period 3'!AI20+ 'Budget Period 4'!AI20+ 'Budget Period 5'!AI20+ 'Budget Period 6'!AI20</f>
        <v>0</v>
      </c>
      <c r="AA21" s="531"/>
      <c r="AB21" s="531"/>
      <c r="AC21" s="612"/>
      <c r="AD21" s="137"/>
      <c r="AE21" s="10"/>
    </row>
    <row r="22" spans="2:31" x14ac:dyDescent="0.2">
      <c r="B22" s="10"/>
      <c r="C22" s="137"/>
      <c r="D22" s="137"/>
      <c r="E22" s="149" t="s">
        <v>100</v>
      </c>
      <c r="F22" s="899">
        <f>'Budget Period 1'!F21:K21</f>
        <v>0</v>
      </c>
      <c r="G22" s="900"/>
      <c r="H22" s="900"/>
      <c r="I22" s="900"/>
      <c r="J22" s="900"/>
      <c r="K22" s="901"/>
      <c r="L22" s="902" t="str">
        <f>CHOOSE('Budget Period 1'!L21,"",'Drop-Down_Options'!$B$25,'Drop-Down_Options'!$B$26,'Drop-Down_Options'!$B$27,'Drop-Down_Options'!$B$28)</f>
        <v/>
      </c>
      <c r="M22" s="903"/>
      <c r="N22" s="904"/>
      <c r="O22" s="878">
        <f>CHOOSE('Budget Period 1'!Y21,0,0,0,'Budget Period 1'!AG21) +
CHOOSE('Budget Period 2'!Y21,0,0,0,'Budget Period 2'!AG21) +
CHOOSE('Budget Period 3'!Y21,0,0,0,'Budget Period 3'!AG21) +
CHOOSE('Budget Period 4'!Y21,0,0,0,'Budget Period 4'!AG21) +
CHOOSE('Budget Period 5'!Y21,0,0,0,'Budget Period 5'!AG21) +
CHOOSE('Budget Period 6'!Y21,0,0,0,'Budget Period 6'!AG21)</f>
        <v>0</v>
      </c>
      <c r="P22" s="879"/>
      <c r="Q22" s="880"/>
      <c r="R22" s="878">
        <f>CHOOSE('Budget Period 1'!Y21, 0, 0, 'Budget Period 1'!AG21,0) +
CHOOSE('Budget Period 2'!Y21, 0, 0, 'Budget Period 2'!AG21,0) +
CHOOSE('Budget Period 3'!Y21, 0, 0, 'Budget Period 3'!AG21,0) +
CHOOSE('Budget Period 4'!Y21, 0, 0, 'Budget Period 4'!AG21,0) +
CHOOSE('Budget Period 5'!Y21, 0, 0, 'Budget Period 5'!AG21,0) +
CHOOSE('Budget Period 6'!Y21, 0, 0, 'Budget Period 6'!AG21,0)</f>
        <v>0</v>
      </c>
      <c r="S22" s="879"/>
      <c r="T22" s="880"/>
      <c r="U22" s="896">
        <f>CHOOSE('Budget Period 1'!Y21, 0, 'Budget Period 1'!AG21, 0, 0) +
CHOOSE('Budget Period 2'!Y21, 0, 'Budget Period 2'!AG21, 0, 0) +
CHOOSE('Budget Period 3'!Y21, 0, 'Budget Period 3'!AG21, 0, 0) +
CHOOSE('Budget Period 4'!Y21, 0, 'Budget Period 4'!AG21, 0, 0) +
CHOOSE('Budget Period 5'!Y21, 0, 'Budget Period 5'!AG21, 0, 0) +
CHOOSE('Budget Period 6'!Y21, 0, 'Budget Period 6'!AG21, 0, 0)</f>
        <v>0</v>
      </c>
      <c r="V22" s="897"/>
      <c r="W22" s="898"/>
      <c r="X22" s="137"/>
      <c r="Y22" s="137"/>
      <c r="Z22" s="908">
        <f>'Budget Period 1'!AI21 + 'Budget Period 2'!AI21 + 'Budget Period 3'!AI21+ 'Budget Period 4'!AI21+ 'Budget Period 5'!AI21+ 'Budget Period 6'!AI21</f>
        <v>0</v>
      </c>
      <c r="AA22" s="531"/>
      <c r="AB22" s="531"/>
      <c r="AC22" s="612"/>
      <c r="AD22" s="137"/>
      <c r="AE22" s="10"/>
    </row>
    <row r="23" spans="2:31" x14ac:dyDescent="0.2">
      <c r="B23" s="10"/>
      <c r="C23" s="137"/>
      <c r="D23" s="137"/>
      <c r="E23" s="149" t="s">
        <v>101</v>
      </c>
      <c r="F23" s="899">
        <f>'Budget Period 1'!F22:K22</f>
        <v>0</v>
      </c>
      <c r="G23" s="900"/>
      <c r="H23" s="900"/>
      <c r="I23" s="900"/>
      <c r="J23" s="900"/>
      <c r="K23" s="901"/>
      <c r="L23" s="902" t="str">
        <f>CHOOSE('Budget Period 1'!L22,"",'Drop-Down_Options'!$B$25,'Drop-Down_Options'!$B$26,'Drop-Down_Options'!$B$27,'Drop-Down_Options'!$B$28)</f>
        <v/>
      </c>
      <c r="M23" s="903"/>
      <c r="N23" s="904"/>
      <c r="O23" s="878">
        <f>CHOOSE('Budget Period 1'!Y22,0,0,0,'Budget Period 1'!AG22) +
CHOOSE('Budget Period 2'!Y22,0,0,0,'Budget Period 2'!AG22) +
CHOOSE('Budget Period 3'!Y22,0,0,0,'Budget Period 3'!AG22) +
CHOOSE('Budget Period 4'!Y22,0,0,0,'Budget Period 4'!AG22) +
CHOOSE('Budget Period 5'!Y22,0,0,0,'Budget Period 5'!AG22) +
CHOOSE('Budget Period 6'!Y22,0,0,0,'Budget Period 6'!AG22)</f>
        <v>0</v>
      </c>
      <c r="P23" s="879"/>
      <c r="Q23" s="880"/>
      <c r="R23" s="878">
        <f>CHOOSE('Budget Period 1'!Y22, 0, 0, 'Budget Period 1'!AG22,0) +
CHOOSE('Budget Period 2'!Y22, 0, 0, 'Budget Period 2'!AG22,0) +
CHOOSE('Budget Period 3'!Y22, 0, 0, 'Budget Period 3'!AG22,0) +
CHOOSE('Budget Period 4'!Y22, 0, 0, 'Budget Period 4'!AG22,0) +
CHOOSE('Budget Period 5'!Y22, 0, 0, 'Budget Period 5'!AG22,0) +
CHOOSE('Budget Period 6'!Y22, 0, 0, 'Budget Period 6'!AG22,0)</f>
        <v>0</v>
      </c>
      <c r="S23" s="879"/>
      <c r="T23" s="880"/>
      <c r="U23" s="896">
        <f>CHOOSE('Budget Period 1'!Y22, 0, 'Budget Period 1'!AG22, 0, 0) +
CHOOSE('Budget Period 2'!Y22, 0, 'Budget Period 2'!AG22, 0, 0) +
CHOOSE('Budget Period 3'!Y22, 0, 'Budget Period 3'!AG22, 0, 0) +
CHOOSE('Budget Period 4'!Y22, 0, 'Budget Period 4'!AG22, 0, 0) +
CHOOSE('Budget Period 5'!Y22, 0, 'Budget Period 5'!AG22, 0, 0) +
CHOOSE('Budget Period 6'!Y22, 0, 'Budget Period 6'!AG22, 0, 0)</f>
        <v>0</v>
      </c>
      <c r="V23" s="897"/>
      <c r="W23" s="898"/>
      <c r="X23" s="137"/>
      <c r="Y23" s="137"/>
      <c r="Z23" s="908">
        <f>'Budget Period 1'!AI22 + 'Budget Period 2'!AI22 + 'Budget Period 3'!AI22+ 'Budget Period 4'!AI22+ 'Budget Period 5'!AI22+ 'Budget Period 6'!AI22</f>
        <v>0</v>
      </c>
      <c r="AA23" s="531"/>
      <c r="AB23" s="531"/>
      <c r="AC23" s="612"/>
      <c r="AD23" s="137"/>
      <c r="AE23" s="10"/>
    </row>
    <row r="24" spans="2:31" x14ac:dyDescent="0.2">
      <c r="B24" s="10"/>
      <c r="C24" s="137"/>
      <c r="D24" s="137"/>
      <c r="E24" s="149" t="s">
        <v>102</v>
      </c>
      <c r="F24" s="899">
        <f>'Budget Period 1'!F23:K23</f>
        <v>0</v>
      </c>
      <c r="G24" s="900"/>
      <c r="H24" s="900"/>
      <c r="I24" s="900"/>
      <c r="J24" s="900"/>
      <c r="K24" s="901"/>
      <c r="L24" s="902" t="str">
        <f>CHOOSE('Budget Period 1'!L23,"",'Drop-Down_Options'!$B$25,'Drop-Down_Options'!$B$26,'Drop-Down_Options'!$B$27,'Drop-Down_Options'!$B$28)</f>
        <v/>
      </c>
      <c r="M24" s="903"/>
      <c r="N24" s="904"/>
      <c r="O24" s="878">
        <f>CHOOSE('Budget Period 1'!Y23,0,0,0,'Budget Period 1'!AG23) +
CHOOSE('Budget Period 2'!Y23,0,0,0,'Budget Period 2'!AG23) +
CHOOSE('Budget Period 3'!Y23,0,0,0,'Budget Period 3'!AG23) +
CHOOSE('Budget Period 4'!Y23,0,0,0,'Budget Period 4'!AG23) +
CHOOSE('Budget Period 5'!Y23,0,0,0,'Budget Period 5'!AG23) +
CHOOSE('Budget Period 6'!Y23,0,0,0,'Budget Period 6'!AG23)</f>
        <v>0</v>
      </c>
      <c r="P24" s="879"/>
      <c r="Q24" s="880"/>
      <c r="R24" s="878">
        <f>CHOOSE('Budget Period 1'!Y23, 0, 0, 'Budget Period 1'!AG23,0) +
CHOOSE('Budget Period 2'!Y23, 0, 0, 'Budget Period 2'!AG23,0) +
CHOOSE('Budget Period 3'!Y23, 0, 0, 'Budget Period 3'!AG23,0) +
CHOOSE('Budget Period 4'!Y23, 0, 0, 'Budget Period 4'!AG23,0) +
CHOOSE('Budget Period 5'!Y23, 0, 0, 'Budget Period 5'!AG23,0) +
CHOOSE('Budget Period 6'!Y23, 0, 0, 'Budget Period 6'!AG23,0)</f>
        <v>0</v>
      </c>
      <c r="S24" s="879"/>
      <c r="T24" s="880"/>
      <c r="U24" s="896">
        <f>CHOOSE('Budget Period 1'!Y23, 0, 'Budget Period 1'!AG23, 0, 0) +
CHOOSE('Budget Period 2'!Y23, 0, 'Budget Period 2'!AG23, 0, 0) +
CHOOSE('Budget Period 3'!Y23, 0, 'Budget Period 3'!AG23, 0, 0) +
CHOOSE('Budget Period 4'!Y23, 0, 'Budget Period 4'!AG23, 0, 0) +
CHOOSE('Budget Period 5'!Y23, 0, 'Budget Period 5'!AG23, 0, 0) +
CHOOSE('Budget Period 6'!Y23, 0, 'Budget Period 6'!AG23, 0, 0)</f>
        <v>0</v>
      </c>
      <c r="V24" s="897"/>
      <c r="W24" s="898"/>
      <c r="X24" s="137"/>
      <c r="Y24" s="137"/>
      <c r="Z24" s="908">
        <f>'Budget Period 1'!AI23 + 'Budget Period 2'!AI23 + 'Budget Period 3'!AI23+ 'Budget Period 4'!AI23+ 'Budget Period 5'!AI23+ 'Budget Period 6'!AI23</f>
        <v>0</v>
      </c>
      <c r="AA24" s="531"/>
      <c r="AB24" s="531"/>
      <c r="AC24" s="612"/>
      <c r="AD24" s="137"/>
      <c r="AE24" s="10"/>
    </row>
    <row r="25" spans="2:31" x14ac:dyDescent="0.2">
      <c r="B25" s="10"/>
      <c r="C25" s="137"/>
      <c r="D25" s="137"/>
      <c r="E25" s="149" t="s">
        <v>103</v>
      </c>
      <c r="F25" s="899">
        <f>'Budget Period 1'!F24:K24</f>
        <v>0</v>
      </c>
      <c r="G25" s="900"/>
      <c r="H25" s="900"/>
      <c r="I25" s="900"/>
      <c r="J25" s="900"/>
      <c r="K25" s="901"/>
      <c r="L25" s="902" t="str">
        <f>CHOOSE('Budget Period 1'!L24,"",'Drop-Down_Options'!$B$25,'Drop-Down_Options'!$B$26,'Drop-Down_Options'!$B$27,'Drop-Down_Options'!$B$28)</f>
        <v/>
      </c>
      <c r="M25" s="903"/>
      <c r="N25" s="904"/>
      <c r="O25" s="878">
        <f>CHOOSE('Budget Period 1'!Y24,0,0,0,'Budget Period 1'!AG24) +
CHOOSE('Budget Period 2'!Y24,0,0,0,'Budget Period 2'!AG24) +
CHOOSE('Budget Period 3'!Y24,0,0,0,'Budget Period 3'!AG24) +
CHOOSE('Budget Period 4'!Y24,0,0,0,'Budget Period 4'!AG24) +
CHOOSE('Budget Period 5'!Y24,0,0,0,'Budget Period 5'!AG24) +
CHOOSE('Budget Period 6'!Y24,0,0,0,'Budget Period 6'!AG24)</f>
        <v>0</v>
      </c>
      <c r="P25" s="879"/>
      <c r="Q25" s="880"/>
      <c r="R25" s="878">
        <f>CHOOSE('Budget Period 1'!Y24, 0, 0, 'Budget Period 1'!AG24,0) +
CHOOSE('Budget Period 2'!Y24, 0, 0, 'Budget Period 2'!AG24,0) +
CHOOSE('Budget Period 3'!Y24, 0, 0, 'Budget Period 3'!AG24,0) +
CHOOSE('Budget Period 4'!Y24, 0, 0, 'Budget Period 4'!AG24,0) +
CHOOSE('Budget Period 5'!Y24, 0, 0, 'Budget Period 5'!AG24,0) +
CHOOSE('Budget Period 6'!Y24, 0, 0, 'Budget Period 6'!AG24,0)</f>
        <v>0</v>
      </c>
      <c r="S25" s="879"/>
      <c r="T25" s="880"/>
      <c r="U25" s="896">
        <f>CHOOSE('Budget Period 1'!Y24, 0, 'Budget Period 1'!AG24, 0, 0) +
CHOOSE('Budget Period 2'!Y24, 0, 'Budget Period 2'!AG24, 0, 0) +
CHOOSE('Budget Period 3'!Y24, 0, 'Budget Period 3'!AG24, 0, 0) +
CHOOSE('Budget Period 4'!Y24, 0, 'Budget Period 4'!AG24, 0, 0) +
CHOOSE('Budget Period 5'!Y24, 0, 'Budget Period 5'!AG24, 0, 0) +
CHOOSE('Budget Period 6'!Y24, 0, 'Budget Period 6'!AG24, 0, 0)</f>
        <v>0</v>
      </c>
      <c r="V25" s="897"/>
      <c r="W25" s="898"/>
      <c r="X25" s="137"/>
      <c r="Y25" s="137"/>
      <c r="Z25" s="908">
        <f>'Budget Period 1'!AI24 + 'Budget Period 2'!AI24 + 'Budget Period 3'!AI24+ 'Budget Period 4'!AI24+ 'Budget Period 5'!AI24+ 'Budget Period 6'!AI24</f>
        <v>0</v>
      </c>
      <c r="AA25" s="531"/>
      <c r="AB25" s="531"/>
      <c r="AC25" s="612"/>
      <c r="AD25" s="137"/>
      <c r="AE25" s="10"/>
    </row>
    <row r="26" spans="2:31" x14ac:dyDescent="0.2">
      <c r="B26" s="10"/>
      <c r="C26" s="137"/>
      <c r="D26" s="137"/>
      <c r="E26" s="149" t="s">
        <v>104</v>
      </c>
      <c r="F26" s="899">
        <f>'Budget Period 1'!F25:K25</f>
        <v>0</v>
      </c>
      <c r="G26" s="900"/>
      <c r="H26" s="900"/>
      <c r="I26" s="900"/>
      <c r="J26" s="900"/>
      <c r="K26" s="901"/>
      <c r="L26" s="902" t="str">
        <f>CHOOSE('Budget Period 1'!L25,"",'Drop-Down_Options'!$B$25,'Drop-Down_Options'!$B$26,'Drop-Down_Options'!$B$27,'Drop-Down_Options'!$B$28)</f>
        <v/>
      </c>
      <c r="M26" s="903"/>
      <c r="N26" s="904"/>
      <c r="O26" s="878">
        <f>CHOOSE('Budget Period 1'!Y25,0,0,0,'Budget Period 1'!AG25) +
CHOOSE('Budget Period 2'!Y25,0,0,0,'Budget Period 2'!AG25) +
CHOOSE('Budget Period 3'!Y25,0,0,0,'Budget Period 3'!AG25) +
CHOOSE('Budget Period 4'!Y25,0,0,0,'Budget Period 4'!AG25) +
CHOOSE('Budget Period 5'!Y25,0,0,0,'Budget Period 5'!AG25) +
CHOOSE('Budget Period 6'!Y25,0,0,0,'Budget Period 6'!AG25)</f>
        <v>0</v>
      </c>
      <c r="P26" s="879"/>
      <c r="Q26" s="880"/>
      <c r="R26" s="878">
        <f>CHOOSE('Budget Period 1'!Y25, 0, 0, 'Budget Period 1'!AG25,0) +
CHOOSE('Budget Period 2'!Y25, 0, 0, 'Budget Period 2'!AG25,0) +
CHOOSE('Budget Period 3'!Y25, 0, 0, 'Budget Period 3'!AG25,0) +
CHOOSE('Budget Period 4'!Y25, 0, 0, 'Budget Period 4'!AG25,0) +
CHOOSE('Budget Period 5'!Y25, 0, 0, 'Budget Period 5'!AG25,0) +
CHOOSE('Budget Period 6'!Y25, 0, 0, 'Budget Period 6'!AG25,0)</f>
        <v>0</v>
      </c>
      <c r="S26" s="879"/>
      <c r="T26" s="880"/>
      <c r="U26" s="896">
        <f>CHOOSE('Budget Period 1'!Y25, 0, 'Budget Period 1'!AG25, 0, 0) +
CHOOSE('Budget Period 2'!Y25, 0, 'Budget Period 2'!AG25, 0, 0) +
CHOOSE('Budget Period 3'!Y25, 0, 'Budget Period 3'!AG25, 0, 0) +
CHOOSE('Budget Period 4'!Y25, 0, 'Budget Period 4'!AG25, 0, 0) +
CHOOSE('Budget Period 5'!Y25, 0, 'Budget Period 5'!AG25, 0, 0) +
CHOOSE('Budget Period 6'!Y25, 0, 'Budget Period 6'!AG25, 0, 0)</f>
        <v>0</v>
      </c>
      <c r="V26" s="897"/>
      <c r="W26" s="898"/>
      <c r="X26" s="137"/>
      <c r="Y26" s="137"/>
      <c r="Z26" s="908">
        <f>'Budget Period 1'!AI25 + 'Budget Period 2'!AI25 + 'Budget Period 3'!AI25+ 'Budget Period 4'!AI25+ 'Budget Period 5'!AI25+ 'Budget Period 6'!AI25</f>
        <v>0</v>
      </c>
      <c r="AA26" s="531"/>
      <c r="AB26" s="531"/>
      <c r="AC26" s="612"/>
      <c r="AD26" s="137"/>
      <c r="AE26" s="10"/>
    </row>
    <row r="27" spans="2:31" x14ac:dyDescent="0.2">
      <c r="B27" s="10"/>
      <c r="C27" s="137"/>
      <c r="D27" s="137"/>
      <c r="E27" s="149" t="s">
        <v>105</v>
      </c>
      <c r="F27" s="899">
        <f>'Budget Period 1'!F26:K26</f>
        <v>0</v>
      </c>
      <c r="G27" s="900"/>
      <c r="H27" s="900"/>
      <c r="I27" s="900"/>
      <c r="J27" s="900"/>
      <c r="K27" s="901"/>
      <c r="L27" s="902" t="str">
        <f>CHOOSE('Budget Period 1'!L26,"",'Drop-Down_Options'!$B$25,'Drop-Down_Options'!$B$26,'Drop-Down_Options'!$B$27,'Drop-Down_Options'!$B$28)</f>
        <v/>
      </c>
      <c r="M27" s="903"/>
      <c r="N27" s="904"/>
      <c r="O27" s="878">
        <f>CHOOSE('Budget Period 1'!Y26,0,0,0,'Budget Period 1'!AG26) +
CHOOSE('Budget Period 2'!Y26,0,0,0,'Budget Period 2'!AG26) +
CHOOSE('Budget Period 3'!Y26,0,0,0,'Budget Period 3'!AG26) +
CHOOSE('Budget Period 4'!Y26,0,0,0,'Budget Period 4'!AG26) +
CHOOSE('Budget Period 5'!Y26,0,0,0,'Budget Period 5'!AG26) +
CHOOSE('Budget Period 6'!Y26,0,0,0,'Budget Period 6'!AG26)</f>
        <v>0</v>
      </c>
      <c r="P27" s="879"/>
      <c r="Q27" s="880"/>
      <c r="R27" s="878">
        <f>CHOOSE('Budget Period 1'!Y26, 0, 0, 'Budget Period 1'!AG26,0) +
CHOOSE('Budget Period 2'!Y26, 0, 0, 'Budget Period 2'!AG26,0) +
CHOOSE('Budget Period 3'!Y26, 0, 0, 'Budget Period 3'!AG26,0) +
CHOOSE('Budget Period 4'!Y26, 0, 0, 'Budget Period 4'!AG26,0) +
CHOOSE('Budget Period 5'!Y26, 0, 0, 'Budget Period 5'!AG26,0) +
CHOOSE('Budget Period 6'!Y26, 0, 0, 'Budget Period 6'!AG26,0)</f>
        <v>0</v>
      </c>
      <c r="S27" s="879"/>
      <c r="T27" s="880"/>
      <c r="U27" s="896">
        <f>CHOOSE('Budget Period 1'!Y26, 0, 'Budget Period 1'!AG26, 0, 0) +
CHOOSE('Budget Period 2'!Y26, 0, 'Budget Period 2'!AG26, 0, 0) +
CHOOSE('Budget Period 3'!Y26, 0, 'Budget Period 3'!AG26, 0, 0) +
CHOOSE('Budget Period 4'!Y26, 0, 'Budget Period 4'!AG26, 0, 0) +
CHOOSE('Budget Period 5'!Y26, 0, 'Budget Period 5'!AG26, 0, 0) +
CHOOSE('Budget Period 6'!Y26, 0, 'Budget Period 6'!AG26, 0, 0)</f>
        <v>0</v>
      </c>
      <c r="V27" s="897"/>
      <c r="W27" s="898"/>
      <c r="X27" s="137"/>
      <c r="Y27" s="137"/>
      <c r="Z27" s="908">
        <f>'Budget Period 1'!AI26 + 'Budget Period 2'!AI26 + 'Budget Period 3'!AI26+ 'Budget Period 4'!AI26+ 'Budget Period 5'!AI26+ 'Budget Period 6'!AI26</f>
        <v>0</v>
      </c>
      <c r="AA27" s="531"/>
      <c r="AB27" s="531"/>
      <c r="AC27" s="612"/>
      <c r="AD27" s="137"/>
      <c r="AE27" s="10"/>
    </row>
    <row r="28" spans="2:31" x14ac:dyDescent="0.2">
      <c r="B28" s="10"/>
      <c r="C28" s="137"/>
      <c r="D28" s="137"/>
      <c r="E28" s="149" t="s">
        <v>106</v>
      </c>
      <c r="F28" s="899">
        <f>'Budget Period 1'!F27:K27</f>
        <v>0</v>
      </c>
      <c r="G28" s="900"/>
      <c r="H28" s="900"/>
      <c r="I28" s="900"/>
      <c r="J28" s="900"/>
      <c r="K28" s="901"/>
      <c r="L28" s="902" t="str">
        <f>CHOOSE('Budget Period 1'!L27,"",'Drop-Down_Options'!$B$25,'Drop-Down_Options'!$B$26,'Drop-Down_Options'!$B$27,'Drop-Down_Options'!$B$28)</f>
        <v/>
      </c>
      <c r="M28" s="903"/>
      <c r="N28" s="904"/>
      <c r="O28" s="878">
        <f>CHOOSE('Budget Period 1'!Y27,0,0,0,'Budget Period 1'!AG27) +
CHOOSE('Budget Period 2'!Y27,0,0,0,'Budget Period 2'!AG27) +
CHOOSE('Budget Period 3'!Y27,0,0,0,'Budget Period 3'!AG27) +
CHOOSE('Budget Period 4'!Y27,0,0,0,'Budget Period 4'!AG27) +
CHOOSE('Budget Period 5'!Y27,0,0,0,'Budget Period 5'!AG27) +
CHOOSE('Budget Period 6'!Y27,0,0,0,'Budget Period 6'!AG27)</f>
        <v>0</v>
      </c>
      <c r="P28" s="879"/>
      <c r="Q28" s="880"/>
      <c r="R28" s="878">
        <f>CHOOSE('Budget Period 1'!Y27, 0, 0, 'Budget Period 1'!AG27,0) +
CHOOSE('Budget Period 2'!Y27, 0, 0, 'Budget Period 2'!AG27,0) +
CHOOSE('Budget Period 3'!Y27, 0, 0, 'Budget Period 3'!AG27,0) +
CHOOSE('Budget Period 4'!Y27, 0, 0, 'Budget Period 4'!AG27,0) +
CHOOSE('Budget Period 5'!Y27, 0, 0, 'Budget Period 5'!AG27,0) +
CHOOSE('Budget Period 6'!Y27, 0, 0, 'Budget Period 6'!AG27,0)</f>
        <v>0</v>
      </c>
      <c r="S28" s="879"/>
      <c r="T28" s="880"/>
      <c r="U28" s="896">
        <f>CHOOSE('Budget Period 1'!Y27, 0, 'Budget Period 1'!AG27, 0, 0) +
CHOOSE('Budget Period 2'!Y27, 0, 'Budget Period 2'!AG27, 0, 0) +
CHOOSE('Budget Period 3'!Y27, 0, 'Budget Period 3'!AG27, 0, 0) +
CHOOSE('Budget Period 4'!Y27, 0, 'Budget Period 4'!AG27, 0, 0) +
CHOOSE('Budget Period 5'!Y27, 0, 'Budget Period 5'!AG27, 0, 0) +
CHOOSE('Budget Period 6'!Y27, 0, 'Budget Period 6'!AG27, 0, 0)</f>
        <v>0</v>
      </c>
      <c r="V28" s="897"/>
      <c r="W28" s="898"/>
      <c r="X28" s="137"/>
      <c r="Y28" s="137"/>
      <c r="Z28" s="908">
        <f>'Budget Period 1'!AI27 + 'Budget Period 2'!AI27 + 'Budget Period 3'!AI27+ 'Budget Period 4'!AI27+ 'Budget Period 5'!AI27+ 'Budget Period 6'!AI27</f>
        <v>0</v>
      </c>
      <c r="AA28" s="531"/>
      <c r="AB28" s="531"/>
      <c r="AC28" s="612"/>
      <c r="AD28" s="137"/>
      <c r="AE28" s="10"/>
    </row>
    <row r="29" spans="2:31" x14ac:dyDescent="0.2">
      <c r="B29" s="10"/>
      <c r="C29" s="137"/>
      <c r="D29" s="137"/>
      <c r="E29" s="149" t="s">
        <v>107</v>
      </c>
      <c r="F29" s="899">
        <f>'Budget Period 1'!F28:K28</f>
        <v>0</v>
      </c>
      <c r="G29" s="900"/>
      <c r="H29" s="900"/>
      <c r="I29" s="900"/>
      <c r="J29" s="900"/>
      <c r="K29" s="901"/>
      <c r="L29" s="902" t="str">
        <f>CHOOSE('Budget Period 1'!L28,"",'Drop-Down_Options'!$B$25,'Drop-Down_Options'!$B$26,'Drop-Down_Options'!$B$27,'Drop-Down_Options'!$B$28)</f>
        <v/>
      </c>
      <c r="M29" s="903"/>
      <c r="N29" s="904"/>
      <c r="O29" s="878">
        <f>CHOOSE('Budget Period 1'!Y28,0,0,0,'Budget Period 1'!AG28) +
CHOOSE('Budget Period 2'!Y28,0,0,0,'Budget Period 2'!AG28) +
CHOOSE('Budget Period 3'!Y28,0,0,0,'Budget Period 3'!AG28) +
CHOOSE('Budget Period 4'!Y28,0,0,0,'Budget Period 4'!AG28) +
CHOOSE('Budget Period 5'!Y28,0,0,0,'Budget Period 5'!AG28) +
CHOOSE('Budget Period 6'!Y28,0,0,0,'Budget Period 6'!AG28)</f>
        <v>0</v>
      </c>
      <c r="P29" s="879"/>
      <c r="Q29" s="880"/>
      <c r="R29" s="878">
        <f>CHOOSE('Budget Period 1'!Y28, 0, 0, 'Budget Period 1'!AG28,0) +
CHOOSE('Budget Period 2'!Y28, 0, 0, 'Budget Period 2'!AG28,0) +
CHOOSE('Budget Period 3'!Y28, 0, 0, 'Budget Period 3'!AG28,0) +
CHOOSE('Budget Period 4'!Y28, 0, 0, 'Budget Period 4'!AG28,0) +
CHOOSE('Budget Period 5'!Y28, 0, 0, 'Budget Period 5'!AG28,0) +
CHOOSE('Budget Period 6'!Y28, 0, 0, 'Budget Period 6'!AG28,0)</f>
        <v>0</v>
      </c>
      <c r="S29" s="879"/>
      <c r="T29" s="880"/>
      <c r="U29" s="896">
        <f>CHOOSE('Budget Period 1'!Y28, 0, 'Budget Period 1'!AG28, 0, 0) +
CHOOSE('Budget Period 2'!Y28, 0, 'Budget Period 2'!AG28, 0, 0) +
CHOOSE('Budget Period 3'!Y28, 0, 'Budget Period 3'!AG28, 0, 0) +
CHOOSE('Budget Period 4'!Y28, 0, 'Budget Period 4'!AG28, 0, 0) +
CHOOSE('Budget Period 5'!Y28, 0, 'Budget Period 5'!AG28, 0, 0) +
CHOOSE('Budget Period 6'!Y28, 0, 'Budget Period 6'!AG28, 0, 0)</f>
        <v>0</v>
      </c>
      <c r="V29" s="897"/>
      <c r="W29" s="898"/>
      <c r="X29" s="137"/>
      <c r="Y29" s="137"/>
      <c r="Z29" s="908">
        <f>'Budget Period 1'!AI28 + 'Budget Period 2'!AI28 + 'Budget Period 3'!AI28+ 'Budget Period 4'!AI28+ 'Budget Period 5'!AI28+ 'Budget Period 6'!AI28</f>
        <v>0</v>
      </c>
      <c r="AA29" s="531"/>
      <c r="AB29" s="531"/>
      <c r="AC29" s="612"/>
      <c r="AD29" s="137"/>
      <c r="AE29" s="10"/>
    </row>
    <row r="30" spans="2:31" x14ac:dyDescent="0.2">
      <c r="B30" s="10"/>
      <c r="C30" s="137"/>
      <c r="D30" s="137"/>
      <c r="E30" s="149" t="s">
        <v>108</v>
      </c>
      <c r="F30" s="899">
        <f>'Budget Period 1'!F29:K29</f>
        <v>0</v>
      </c>
      <c r="G30" s="900"/>
      <c r="H30" s="900"/>
      <c r="I30" s="900"/>
      <c r="J30" s="900"/>
      <c r="K30" s="901"/>
      <c r="L30" s="902" t="str">
        <f>CHOOSE('Budget Period 1'!L29,"",'Drop-Down_Options'!$B$25,'Drop-Down_Options'!$B$26,'Drop-Down_Options'!$B$27,'Drop-Down_Options'!$B$28)</f>
        <v/>
      </c>
      <c r="M30" s="903"/>
      <c r="N30" s="904"/>
      <c r="O30" s="878">
        <f>CHOOSE('Budget Period 1'!Y29,0,0,0,'Budget Period 1'!AG29) +
CHOOSE('Budget Period 2'!Y29,0,0,0,'Budget Period 2'!AG29) +
CHOOSE('Budget Period 3'!Y29,0,0,0,'Budget Period 3'!AG29) +
CHOOSE('Budget Period 4'!Y29,0,0,0,'Budget Period 4'!AG29) +
CHOOSE('Budget Period 5'!Y29,0,0,0,'Budget Period 5'!AG29) +
CHOOSE('Budget Period 6'!Y29,0,0,0,'Budget Period 6'!AG29)</f>
        <v>0</v>
      </c>
      <c r="P30" s="879"/>
      <c r="Q30" s="880"/>
      <c r="R30" s="878">
        <f>CHOOSE('Budget Period 1'!Y29, 0, 0, 'Budget Period 1'!AG29,0) +
CHOOSE('Budget Period 2'!Y29, 0, 0, 'Budget Period 2'!AG29,0) +
CHOOSE('Budget Period 3'!Y29, 0, 0, 'Budget Period 3'!AG29,0) +
CHOOSE('Budget Period 4'!Y29, 0, 0, 'Budget Period 4'!AG29,0) +
CHOOSE('Budget Period 5'!Y29, 0, 0, 'Budget Period 5'!AG29,0) +
CHOOSE('Budget Period 6'!Y29, 0, 0, 'Budget Period 6'!AG29,0)</f>
        <v>0</v>
      </c>
      <c r="S30" s="879"/>
      <c r="T30" s="880"/>
      <c r="U30" s="896">
        <f>CHOOSE('Budget Period 1'!Y29, 0, 'Budget Period 1'!AG29, 0, 0) +
CHOOSE('Budget Period 2'!Y29, 0, 'Budget Period 2'!AG29, 0, 0) +
CHOOSE('Budget Period 3'!Y29, 0, 'Budget Period 3'!AG29, 0, 0) +
CHOOSE('Budget Period 4'!Y29, 0, 'Budget Period 4'!AG29, 0, 0) +
CHOOSE('Budget Period 5'!Y29, 0, 'Budget Period 5'!AG29, 0, 0) +
CHOOSE('Budget Period 6'!Y29, 0, 'Budget Period 6'!AG29, 0, 0)</f>
        <v>0</v>
      </c>
      <c r="V30" s="897"/>
      <c r="W30" s="898"/>
      <c r="X30" s="137"/>
      <c r="Y30" s="137"/>
      <c r="Z30" s="908">
        <f>'Budget Period 1'!AI29 + 'Budget Period 2'!AI29 + 'Budget Period 3'!AI29+ 'Budget Period 4'!AI29+ 'Budget Period 5'!AI29+ 'Budget Period 6'!AI29</f>
        <v>0</v>
      </c>
      <c r="AA30" s="531"/>
      <c r="AB30" s="531"/>
      <c r="AC30" s="612"/>
      <c r="AD30" s="137"/>
      <c r="AE30" s="10"/>
    </row>
    <row r="31" spans="2:31" ht="13.5" thickBot="1" x14ac:dyDescent="0.25">
      <c r="B31" s="10"/>
      <c r="C31" s="137"/>
      <c r="D31" s="137"/>
      <c r="E31" s="149" t="s">
        <v>109</v>
      </c>
      <c r="F31" s="909">
        <f>'Budget Period 1'!F30:K30</f>
        <v>0</v>
      </c>
      <c r="G31" s="910"/>
      <c r="H31" s="910"/>
      <c r="I31" s="910"/>
      <c r="J31" s="910"/>
      <c r="K31" s="911"/>
      <c r="L31" s="919" t="str">
        <f>CHOOSE('Budget Period 1'!L30,"",'Drop-Down_Options'!$B$25,'Drop-Down_Options'!$B$26,'Drop-Down_Options'!$B$27,'Drop-Down_Options'!$B$28)</f>
        <v/>
      </c>
      <c r="M31" s="920"/>
      <c r="N31" s="921"/>
      <c r="O31" s="913">
        <f>CHOOSE('Budget Period 1'!Y30,0,0,0,'Budget Period 1'!AG30) +
CHOOSE('Budget Period 2'!Y30,0,0,0,'Budget Period 2'!AG30) +
CHOOSE('Budget Period 3'!Y30,0,0,0,'Budget Period 3'!AG30) +
CHOOSE('Budget Period 4'!Y30,0,0,0,'Budget Period 4'!AG30) +
CHOOSE('Budget Period 5'!Y30,0,0,0,'Budget Period 5'!AG30) +
CHOOSE('Budget Period 6'!Y30,0,0,0,'Budget Period 6'!AG30)</f>
        <v>0</v>
      </c>
      <c r="P31" s="914"/>
      <c r="Q31" s="915"/>
      <c r="R31" s="913">
        <f>CHOOSE('Budget Period 1'!Y30, 0, 0, 'Budget Period 1'!AG30,0) +
CHOOSE('Budget Period 2'!Y30, 0, 0, 'Budget Period 2'!AG30,0) +
CHOOSE('Budget Period 3'!Y30, 0, 0, 'Budget Period 3'!AG30,0) +
CHOOSE('Budget Period 4'!Y30, 0, 0, 'Budget Period 4'!AG30,0) +
CHOOSE('Budget Period 5'!Y30, 0, 0, 'Budget Period 5'!AG30,0) +
CHOOSE('Budget Period 6'!Y30, 0, 0, 'Budget Period 6'!AG30,0)</f>
        <v>0</v>
      </c>
      <c r="S31" s="914"/>
      <c r="T31" s="915"/>
      <c r="U31" s="916">
        <f>CHOOSE('Budget Period 1'!Y30, 0, 'Budget Period 1'!AG30, 0, 0) +
CHOOSE('Budget Period 2'!Y30, 0, 'Budget Period 2'!AG30, 0, 0) +
CHOOSE('Budget Period 3'!Y30, 0, 'Budget Period 3'!AG30, 0, 0) +
CHOOSE('Budget Period 4'!Y30, 0, 'Budget Period 4'!AG30, 0, 0) +
CHOOSE('Budget Period 5'!Y30, 0, 'Budget Period 5'!AG30, 0, 0) +
CHOOSE('Budget Period 6'!Y30, 0, 'Budget Period 6'!AG30, 0, 0)</f>
        <v>0</v>
      </c>
      <c r="V31" s="917"/>
      <c r="W31" s="918"/>
      <c r="X31" s="137"/>
      <c r="Y31" s="137"/>
      <c r="Z31" s="912">
        <f>'Budget Period 1'!AI30 + 'Budget Period 2'!AI30 + 'Budget Period 3'!AI30+ 'Budget Period 4'!AI30+ 'Budget Period 5'!AI30+ 'Budget Period 6'!AI30</f>
        <v>0</v>
      </c>
      <c r="AA31" s="650"/>
      <c r="AB31" s="650"/>
      <c r="AC31" s="672"/>
      <c r="AD31" s="137"/>
      <c r="AE31" s="10"/>
    </row>
    <row r="32" spans="2:31" ht="13.5" thickBot="1" x14ac:dyDescent="0.25">
      <c r="B32" s="10"/>
      <c r="C32" s="137"/>
      <c r="D32" s="137"/>
      <c r="E32" s="149"/>
      <c r="F32" s="140"/>
      <c r="G32" s="140"/>
      <c r="H32" s="140"/>
      <c r="I32" s="140"/>
      <c r="J32" s="140"/>
      <c r="K32" s="140"/>
      <c r="L32" s="172"/>
      <c r="M32" s="172"/>
      <c r="N32" s="172"/>
      <c r="O32" s="177"/>
      <c r="P32" s="177"/>
      <c r="Q32" s="177"/>
      <c r="R32" s="177"/>
      <c r="S32" s="177"/>
      <c r="T32" s="177"/>
      <c r="U32" s="178"/>
      <c r="V32" s="178"/>
      <c r="W32" s="178"/>
      <c r="X32" s="137"/>
      <c r="Y32" s="137"/>
      <c r="Z32" s="179"/>
      <c r="AA32" s="179"/>
      <c r="AB32" s="179"/>
      <c r="AC32" s="179"/>
      <c r="AD32" s="137"/>
      <c r="AE32" s="10"/>
    </row>
    <row r="33" spans="2:31" ht="13.5" thickBot="1" x14ac:dyDescent="0.25">
      <c r="B33" s="10"/>
      <c r="C33" s="137"/>
      <c r="D33" s="137"/>
      <c r="E33" s="149"/>
      <c r="F33" s="173" t="s">
        <v>186</v>
      </c>
      <c r="G33" s="140"/>
      <c r="H33" s="140"/>
      <c r="I33" s="140"/>
      <c r="J33" s="140"/>
      <c r="K33" s="140"/>
      <c r="L33" s="172"/>
      <c r="M33" s="172"/>
      <c r="N33" s="172"/>
      <c r="O33" s="878">
        <f>SUM(O12:Q31)</f>
        <v>0</v>
      </c>
      <c r="P33" s="879"/>
      <c r="Q33" s="880"/>
      <c r="R33" s="878">
        <f>SUM(R12:T31)</f>
        <v>0</v>
      </c>
      <c r="S33" s="879"/>
      <c r="T33" s="880"/>
      <c r="U33" s="881">
        <f>SUM(U12:W31)</f>
        <v>0</v>
      </c>
      <c r="V33" s="882"/>
      <c r="W33" s="883"/>
      <c r="X33" s="137"/>
      <c r="Y33" s="137"/>
      <c r="Z33" s="884">
        <f>SUM(Z12:AC31)</f>
        <v>0</v>
      </c>
      <c r="AA33" s="885"/>
      <c r="AB33" s="885"/>
      <c r="AC33" s="886"/>
      <c r="AD33" s="137"/>
      <c r="AE33" s="10"/>
    </row>
    <row r="34" spans="2:31" x14ac:dyDescent="0.2">
      <c r="B34" s="10"/>
      <c r="C34" s="137"/>
      <c r="D34" s="137"/>
      <c r="E34" s="137"/>
      <c r="F34" s="173" t="s">
        <v>185</v>
      </c>
      <c r="G34" s="149"/>
      <c r="H34" s="149"/>
      <c r="I34" s="149"/>
      <c r="J34" s="149"/>
      <c r="K34" s="149"/>
      <c r="L34" s="149"/>
      <c r="M34" s="149"/>
      <c r="N34" s="149"/>
      <c r="O34" s="137"/>
      <c r="P34" s="137"/>
      <c r="Q34" s="137"/>
      <c r="R34" s="149"/>
      <c r="S34" s="149"/>
      <c r="T34" s="137"/>
      <c r="U34" s="893">
        <f>COUNTA(F12:K31)-COUNT(F12:K31)</f>
        <v>0</v>
      </c>
      <c r="V34" s="894"/>
      <c r="W34" s="895"/>
      <c r="X34" s="149"/>
      <c r="Y34" s="149"/>
      <c r="Z34" s="149"/>
      <c r="AA34" s="149"/>
      <c r="AB34" s="149"/>
      <c r="AC34" s="149"/>
      <c r="AD34" s="137"/>
      <c r="AE34" s="10"/>
    </row>
    <row r="35" spans="2:31" ht="13.5" thickBot="1" x14ac:dyDescent="0.25">
      <c r="B35" s="10"/>
      <c r="C35" s="164"/>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69"/>
      <c r="AE35" s="10"/>
    </row>
    <row r="36" spans="2:31" ht="13.5" thickBot="1" x14ac:dyDescent="0.25">
      <c r="B36" s="10"/>
      <c r="C36" s="164"/>
      <c r="D36" s="142" t="s">
        <v>203</v>
      </c>
      <c r="E36" s="137"/>
      <c r="F36" s="137"/>
      <c r="G36" s="137"/>
      <c r="H36" s="137"/>
      <c r="I36" s="137"/>
      <c r="J36" s="137"/>
      <c r="K36" s="137"/>
      <c r="L36" s="137"/>
      <c r="M36" s="137"/>
      <c r="N36" s="137"/>
      <c r="O36" s="137"/>
      <c r="P36" s="137"/>
      <c r="Q36" s="137"/>
      <c r="R36" s="137"/>
      <c r="S36" s="137"/>
      <c r="T36" s="137"/>
      <c r="U36" s="137"/>
      <c r="V36" s="137"/>
      <c r="W36" s="137"/>
      <c r="X36" s="137"/>
      <c r="Y36" s="137"/>
      <c r="Z36" s="876" t="s">
        <v>117</v>
      </c>
      <c r="AA36" s="872"/>
      <c r="AB36" s="872"/>
      <c r="AC36" s="873"/>
      <c r="AD36" s="137"/>
      <c r="AE36" s="10"/>
    </row>
    <row r="37" spans="2:31" x14ac:dyDescent="0.2">
      <c r="B37" s="10"/>
      <c r="C37" s="137"/>
      <c r="D37" s="137"/>
      <c r="E37" s="137"/>
      <c r="F37" s="887" t="s">
        <v>202</v>
      </c>
      <c r="G37" s="888"/>
      <c r="H37" s="888"/>
      <c r="I37" s="888"/>
      <c r="J37" s="888"/>
      <c r="K37" s="889"/>
      <c r="L37" s="137"/>
      <c r="M37" s="137"/>
      <c r="N37" s="137"/>
      <c r="O37" s="137"/>
      <c r="P37" s="137"/>
      <c r="Q37" s="137"/>
      <c r="R37" s="137"/>
      <c r="S37" s="138" t="s">
        <v>205</v>
      </c>
      <c r="T37" s="137"/>
      <c r="U37" s="965">
        <f>SUM('Budget Period 1'!AB36*(CHOOSE(Calc!F55,0,1,1,1,1,0.5,0.5)),'Budget Period 1'!AB37*(CHOOSE(Calc!F56,0,1,1,1,1,0.5,0.5)),'Budget Period 1'!AB38*(CHOOSE(Calc!F57,0,1,1,1,1,0.5,0.5)),'Budget Period 1'!AB39*(CHOOSE(Calc!F58,0,1,1,1,1,0.5,0.5)),'Budget Period 1'!AB40*(CHOOSE(Calc!F59,0,1,1,1,1,0.5,0.5)),'Budget Period 2'!AB36*(CHOOSE(Calc!F60,0,1,1,1,1,0.5,0.5)),'Budget Period 2'!AB37*(CHOOSE(Calc!F61,0,1,1,1,1,0.5,0.5)),'Budget Period 2'!AB38*(CHOOSE(Calc!F62,0,1,1,1,1,0.5,0.5)),'Budget Period 2'!AB39*(CHOOSE(Calc!F63,0,1,1,1,1,0.5,0.5)),'Budget Period 2'!AB40*(CHOOSE(Calc!F64,0,1,1,1,1,0.5,0.5)),'Budget Period 3'!AB36*(CHOOSE(Calc!F65,0,1,1,1,1,0.5,0.5)),'Budget Period 3'!AB37*(CHOOSE(Calc!F66,0,1,1,1,1,0.5,0.5)),'Budget Period 3'!AB38*(CHOOSE(Calc!F67,0,1,1,1,1,0.5,0.5)),'Budget Period 3'!AB39*(CHOOSE(Calc!F68,0,1,1,1,1,0.5,0.5)),'Budget Period 3'!AB40*(CHOOSE(Calc!F69,0,1,1,1,1,0.5,0.5)),'Budget Period 4'!AB36*(CHOOSE(Calc!F70,0,1,1,1,1,0.5,0.5)),'Budget Period 4'!AB37*(CHOOSE(Calc!F71,0,1,1,1,1,0.5,0.5)),'Budget Period 4'!AB38*(CHOOSE(Calc!F72,0,1,1,1,1,0.5,0.5)),'Budget Period 4'!AB39*(CHOOSE(Calc!F73,0,1,1,1,1,0.5,0.5)),'Budget Period 4'!AB40*(CHOOSE(Calc!F74,0,1,1,1,1,0.5,0.5)),'Budget Period 5'!AB36*(CHOOSE(Calc!F75,0,1,1,1,1,0.5,0.5)),'Budget Period 5'!AB37*(CHOOSE(Calc!F76,0,1,1,1,1,0.5,0.5)),'Budget Period 5'!AB38*(CHOOSE(Calc!F77,0,1,1,1,1,0.5,0.5)),'Budget Period 5'!AB39*(CHOOSE(Calc!F78,0,1,1,1,1,0.5,0.5)),'Budget Period 5'!AB40*(CHOOSE(Calc!F79,0,1,1,1,1,0.5,0.5)),'Budget Period 6'!AB36*(CHOOSE(Calc!F80,0,1,1,1,1,0.5,0.5)),'Budget Period 6'!AB37*(CHOOSE(Calc!F81,0,1,1,1,1,0.5,0.5)),'Budget Period 6'!AB38*(CHOOSE(Calc!F82,0,1,1,1,1,0.5,0.5)),'Budget Period 6'!AB39*(CHOOSE(Calc!F83,0,1,1,1,1,0.5,0.5)),'Budget Period 6'!AB40*(CHOOSE(Calc!F84,0,1,1,1,1,0.5,0.5)))</f>
        <v>0</v>
      </c>
      <c r="V37" s="966"/>
      <c r="W37" s="967"/>
      <c r="X37" s="137"/>
      <c r="Y37" s="160"/>
      <c r="Z37" s="968">
        <f>SUM(Result_GradAsstSalary_Y1, Result_GradAsstSalary_Y2, Result_GradAsstSalary_Y3, Result_GradAsstSalary_Y4, Result_GradAsstSalary_Y5, Result_GradAsstSalary_Y6)</f>
        <v>0</v>
      </c>
      <c r="AA37" s="969"/>
      <c r="AB37" s="969"/>
      <c r="AC37" s="970"/>
      <c r="AD37" s="137"/>
      <c r="AE37" s="10"/>
    </row>
    <row r="38" spans="2:31" ht="13.5" customHeight="1" thickBot="1" x14ac:dyDescent="0.25">
      <c r="B38" s="10"/>
      <c r="C38" s="137"/>
      <c r="D38" s="137"/>
      <c r="E38" s="137"/>
      <c r="F38" s="890" t="s">
        <v>129</v>
      </c>
      <c r="G38" s="891"/>
      <c r="H38" s="891"/>
      <c r="I38" s="891"/>
      <c r="J38" s="891"/>
      <c r="K38" s="892"/>
      <c r="L38" s="137"/>
      <c r="M38" s="137"/>
      <c r="N38" s="137"/>
      <c r="O38" s="137"/>
      <c r="P38" s="137"/>
      <c r="Q38" s="137"/>
      <c r="R38" s="137"/>
      <c r="S38" s="138" t="s">
        <v>204</v>
      </c>
      <c r="T38" s="137"/>
      <c r="U38" s="902">
        <f>SUM('Budget Period 1'!U46:W50, 'Budget Period 2'!U46:W50, 'Budget Period 3'!U46:W50, 'Budget Period 4'!U46:W50, 'Budget Period 5'!U46:W50, 'Budget Period 6'!U46:W50)</f>
        <v>0</v>
      </c>
      <c r="V38" s="903"/>
      <c r="W38" s="904"/>
      <c r="X38" s="137"/>
      <c r="Y38" s="137"/>
      <c r="Z38" s="971">
        <f>SUM(Result_StudentSalary_Y1, Result_StudentSalary_Y2, Result_StudentSalary_Y3, Result_StudentSalary_Y4, Result_StudentSalary_Y5, Result_StudentSalary_Y6)</f>
        <v>0</v>
      </c>
      <c r="AA38" s="575"/>
      <c r="AB38" s="575"/>
      <c r="AC38" s="576"/>
      <c r="AD38" s="137"/>
      <c r="AE38" s="10"/>
    </row>
    <row r="39" spans="2:31" x14ac:dyDescent="0.2">
      <c r="B39" s="10"/>
      <c r="C39" s="147"/>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8"/>
      <c r="AE39" s="10"/>
    </row>
    <row r="40" spans="2:31" ht="13.5" thickBot="1" x14ac:dyDescent="0.25">
      <c r="B40" s="10"/>
      <c r="C40" s="165"/>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70"/>
      <c r="AE40" s="10"/>
    </row>
    <row r="41" spans="2:31" ht="12.75" customHeight="1" x14ac:dyDescent="0.2">
      <c r="B41" s="10"/>
      <c r="C41" s="137"/>
      <c r="D41" s="142" t="s">
        <v>187</v>
      </c>
      <c r="E41" s="137"/>
      <c r="F41" s="137"/>
      <c r="G41" s="137"/>
      <c r="H41" s="137"/>
      <c r="I41" s="137"/>
      <c r="J41" s="137"/>
      <c r="K41" s="137"/>
      <c r="L41" s="137"/>
      <c r="M41" s="137"/>
      <c r="N41" s="137"/>
      <c r="O41" s="137"/>
      <c r="P41" s="137"/>
      <c r="Q41" s="137"/>
      <c r="R41" s="137"/>
      <c r="S41" s="137"/>
      <c r="T41" s="137"/>
      <c r="U41" s="137"/>
      <c r="V41" s="137"/>
      <c r="W41" s="137"/>
      <c r="X41" s="137"/>
      <c r="Y41" s="137"/>
      <c r="Z41" s="972" t="s">
        <v>175</v>
      </c>
      <c r="AA41" s="973"/>
      <c r="AB41" s="973"/>
      <c r="AC41" s="974"/>
      <c r="AD41" s="137"/>
      <c r="AE41" s="10"/>
    </row>
    <row r="42" spans="2:31" x14ac:dyDescent="0.2">
      <c r="B42" s="10"/>
      <c r="C42" s="137"/>
      <c r="D42" s="137"/>
      <c r="E42" s="137"/>
      <c r="F42" s="950" t="s">
        <v>188</v>
      </c>
      <c r="G42" s="951"/>
      <c r="H42" s="951"/>
      <c r="I42" s="951"/>
      <c r="J42" s="951"/>
      <c r="K42" s="952"/>
      <c r="L42" s="137"/>
      <c r="M42" s="137"/>
      <c r="N42" s="137"/>
      <c r="O42" s="137"/>
      <c r="P42" s="137"/>
      <c r="Q42" s="137"/>
      <c r="R42" s="137"/>
      <c r="S42" s="137"/>
      <c r="T42" s="137"/>
      <c r="U42" s="137"/>
      <c r="V42" s="137"/>
      <c r="W42" s="137"/>
      <c r="X42" s="137"/>
      <c r="Y42" s="137"/>
      <c r="Z42" s="975">
        <f>SUM(Result_SalariesWages_Y1, Result_SalariesWages_Y2, Result_SalariesWages_Y3, Result_SalariesWages_Y4, Result_SalariesWages_Y5, Result_SalariesWages_Y6)</f>
        <v>0</v>
      </c>
      <c r="AA42" s="964"/>
      <c r="AB42" s="964"/>
      <c r="AC42" s="976"/>
      <c r="AD42" s="137"/>
      <c r="AE42" s="10"/>
    </row>
    <row r="43" spans="2:31" ht="13.5" thickBot="1" x14ac:dyDescent="0.25">
      <c r="B43" s="10"/>
      <c r="C43" s="137"/>
      <c r="D43" s="137"/>
      <c r="E43" s="137"/>
      <c r="F43" s="950" t="s">
        <v>90</v>
      </c>
      <c r="G43" s="951"/>
      <c r="H43" s="951"/>
      <c r="I43" s="951"/>
      <c r="J43" s="951"/>
      <c r="K43" s="952"/>
      <c r="L43" s="137"/>
      <c r="M43" s="137"/>
      <c r="N43" s="137"/>
      <c r="O43" s="137"/>
      <c r="P43" s="137"/>
      <c r="Q43" s="137"/>
      <c r="R43" s="137"/>
      <c r="S43" s="137"/>
      <c r="T43" s="137"/>
      <c r="U43" s="137"/>
      <c r="V43" s="137"/>
      <c r="W43" s="137"/>
      <c r="X43" s="137"/>
      <c r="Y43" s="137"/>
      <c r="Z43" s="977">
        <f>SUM(Result_FringeBenefits_Y1, Result_FringeBenefits_Y2, Result_FringeBenefits_Y3, Result_FringeBenefits_Y4, Result_FringeBenefits_Y5, Result_FringeBenefits_Y6)</f>
        <v>0</v>
      </c>
      <c r="AA43" s="978"/>
      <c r="AB43" s="978"/>
      <c r="AC43" s="979"/>
      <c r="AD43" s="137"/>
      <c r="AE43" s="10"/>
    </row>
    <row r="44" spans="2:31" ht="13.5" thickBot="1" x14ac:dyDescent="0.25">
      <c r="B44" s="10"/>
      <c r="C44" s="137"/>
      <c r="D44" s="137"/>
      <c r="E44" s="137"/>
      <c r="F44" s="174"/>
      <c r="G44" s="174"/>
      <c r="H44" s="174"/>
      <c r="I44" s="174"/>
      <c r="J44" s="174"/>
      <c r="K44" s="174"/>
      <c r="L44" s="174"/>
      <c r="M44" s="174"/>
      <c r="N44" s="174"/>
      <c r="O44" s="174"/>
      <c r="P44" s="174"/>
      <c r="Q44" s="174"/>
      <c r="R44" s="137"/>
      <c r="S44" s="137"/>
      <c r="T44" s="137"/>
      <c r="U44" s="137"/>
      <c r="V44" s="137"/>
      <c r="W44" s="137"/>
      <c r="X44" s="137"/>
      <c r="Y44" s="137"/>
      <c r="Z44" s="176"/>
      <c r="AA44" s="176"/>
      <c r="AB44" s="176"/>
      <c r="AC44" s="176"/>
      <c r="AD44" s="137"/>
      <c r="AE44" s="10"/>
    </row>
    <row r="45" spans="2:31" ht="13.5" thickBot="1" x14ac:dyDescent="0.25">
      <c r="B45" s="10"/>
      <c r="C45" s="137"/>
      <c r="D45" s="137"/>
      <c r="E45" s="137"/>
      <c r="F45" s="173" t="s">
        <v>282</v>
      </c>
      <c r="G45" s="174"/>
      <c r="H45" s="174"/>
      <c r="I45" s="174"/>
      <c r="J45" s="174"/>
      <c r="K45" s="174"/>
      <c r="L45" s="174"/>
      <c r="M45" s="174"/>
      <c r="N45" s="174"/>
      <c r="O45" s="174"/>
      <c r="P45" s="174"/>
      <c r="Q45" s="174"/>
      <c r="R45" s="137"/>
      <c r="S45" s="137"/>
      <c r="T45" s="137"/>
      <c r="U45" s="137"/>
      <c r="V45" s="137"/>
      <c r="W45" s="137"/>
      <c r="X45" s="137"/>
      <c r="Y45" s="137"/>
      <c r="Z45" s="954">
        <f>SUM(Z42:AC43)</f>
        <v>0</v>
      </c>
      <c r="AA45" s="955"/>
      <c r="AB45" s="955"/>
      <c r="AC45" s="956"/>
      <c r="AD45" s="137"/>
      <c r="AE45" s="10"/>
    </row>
    <row r="46" spans="2:31" x14ac:dyDescent="0.2">
      <c r="B46" s="10"/>
      <c r="C46" s="147"/>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8"/>
      <c r="AE46" s="10"/>
    </row>
    <row r="47" spans="2:31" ht="13.5" thickBot="1" x14ac:dyDescent="0.25">
      <c r="B47" s="10"/>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0"/>
    </row>
    <row r="48" spans="2:31" ht="13.5" thickBot="1" x14ac:dyDescent="0.25">
      <c r="B48" s="10"/>
      <c r="C48" s="137"/>
      <c r="D48" s="142" t="s">
        <v>190</v>
      </c>
      <c r="E48" s="137"/>
      <c r="F48" s="137"/>
      <c r="G48" s="137"/>
      <c r="H48" s="137"/>
      <c r="I48" s="137"/>
      <c r="J48" s="137"/>
      <c r="K48" s="137"/>
      <c r="L48" s="137"/>
      <c r="M48" s="137"/>
      <c r="N48" s="137"/>
      <c r="O48" s="137"/>
      <c r="P48" s="137"/>
      <c r="Q48" s="137"/>
      <c r="R48" s="137"/>
      <c r="S48" s="137"/>
      <c r="T48" s="137"/>
      <c r="U48" s="137"/>
      <c r="V48" s="137"/>
      <c r="W48" s="137"/>
      <c r="X48" s="137"/>
      <c r="Y48" s="137"/>
      <c r="Z48" s="876" t="s">
        <v>175</v>
      </c>
      <c r="AA48" s="872"/>
      <c r="AB48" s="872"/>
      <c r="AC48" s="873"/>
      <c r="AD48" s="137"/>
      <c r="AE48" s="10"/>
    </row>
    <row r="49" spans="2:31" x14ac:dyDescent="0.2">
      <c r="B49" s="10"/>
      <c r="C49" s="137"/>
      <c r="D49" s="142"/>
      <c r="E49" s="137"/>
      <c r="F49" s="950" t="s">
        <v>138</v>
      </c>
      <c r="G49" s="951"/>
      <c r="H49" s="951"/>
      <c r="I49" s="951"/>
      <c r="J49" s="951"/>
      <c r="K49" s="952"/>
      <c r="L49" s="137"/>
      <c r="M49" s="137"/>
      <c r="N49" s="137"/>
      <c r="O49" s="137"/>
      <c r="P49" s="137"/>
      <c r="Q49" s="137"/>
      <c r="R49" s="137"/>
      <c r="S49" s="137"/>
      <c r="T49" s="137"/>
      <c r="U49" s="137"/>
      <c r="V49" s="137"/>
      <c r="W49" s="137"/>
      <c r="X49" s="137"/>
      <c r="Y49" s="137"/>
      <c r="Z49" s="980">
        <f>SUM(Result_EquipmentCost_Y1, Result_EquipmentCost_Y2, Result_EquipmentCost_Y3, Result_EquipmentCost_Y4, Result_EquipmentCost_Y5, Result_EquipmentCost_Y6)</f>
        <v>0</v>
      </c>
      <c r="AA49" s="521"/>
      <c r="AB49" s="521"/>
      <c r="AC49" s="524"/>
      <c r="AD49" s="137"/>
      <c r="AE49" s="10"/>
    </row>
    <row r="50" spans="2:31" x14ac:dyDescent="0.2">
      <c r="B50" s="10"/>
      <c r="C50" s="137"/>
      <c r="D50" s="142"/>
      <c r="E50" s="137"/>
      <c r="F50" s="922" t="s">
        <v>157</v>
      </c>
      <c r="G50" s="923"/>
      <c r="H50" s="923"/>
      <c r="I50" s="923"/>
      <c r="J50" s="923"/>
      <c r="K50" s="924"/>
      <c r="L50" s="137"/>
      <c r="M50" s="137"/>
      <c r="N50" s="137"/>
      <c r="O50" s="137"/>
      <c r="P50" s="137"/>
      <c r="Q50" s="137"/>
      <c r="R50" s="175" t="s">
        <v>192</v>
      </c>
      <c r="S50" s="137"/>
      <c r="T50" s="963">
        <f>SUM(Result_TravelDomestic_Y1, Result_TravelDomestic_Y2, Result_TravelDomestic_Y3, Result_TravelDomestic_Y4, Result_TravelDomestic_Y5, Result_TravelDomestic_Y6)</f>
        <v>0</v>
      </c>
      <c r="U50" s="964"/>
      <c r="V50" s="964"/>
      <c r="W50" s="522"/>
      <c r="X50" s="137"/>
      <c r="Y50" s="137"/>
      <c r="Z50" s="960">
        <f>SUM(Result_TravelTotal_Y1, Result_TravelTotal_Y2, Result_TravelTotal_Y3, Result_TravelTotal_Y4, Result_TravelTotal_Y5, Result_TravelTotal_Y6)</f>
        <v>0</v>
      </c>
      <c r="AA50" s="961"/>
      <c r="AB50" s="961"/>
      <c r="AC50" s="962"/>
      <c r="AD50" s="137"/>
      <c r="AE50" s="10"/>
    </row>
    <row r="51" spans="2:31" x14ac:dyDescent="0.2">
      <c r="B51" s="10"/>
      <c r="C51" s="137"/>
      <c r="D51" s="142"/>
      <c r="E51" s="137"/>
      <c r="F51" s="925"/>
      <c r="G51" s="926"/>
      <c r="H51" s="926"/>
      <c r="I51" s="926"/>
      <c r="J51" s="926"/>
      <c r="K51" s="927"/>
      <c r="L51" s="137"/>
      <c r="M51" s="137"/>
      <c r="N51" s="137"/>
      <c r="O51" s="176"/>
      <c r="P51" s="176"/>
      <c r="Q51" s="176"/>
      <c r="R51" s="175" t="s">
        <v>191</v>
      </c>
      <c r="S51" s="180"/>
      <c r="T51" s="963">
        <f>SUM(Result_TravelForeign_Y1, Result_TravelForeign_Y2, Result_TravelForeign_Y3, Result_TravelForeign_Y4, Result_TravelForeign_Y5, Result_TravelForeign_Y6)</f>
        <v>0</v>
      </c>
      <c r="U51" s="964"/>
      <c r="V51" s="964"/>
      <c r="W51" s="522"/>
      <c r="X51" s="137"/>
      <c r="Y51" s="137"/>
      <c r="Z51" s="960"/>
      <c r="AA51" s="961"/>
      <c r="AB51" s="961"/>
      <c r="AC51" s="962"/>
      <c r="AD51" s="137"/>
      <c r="AE51" s="10"/>
    </row>
    <row r="52" spans="2:31" x14ac:dyDescent="0.2">
      <c r="B52" s="10"/>
      <c r="C52" s="137"/>
      <c r="D52" s="142"/>
      <c r="E52" s="137"/>
      <c r="F52" s="950" t="s">
        <v>158</v>
      </c>
      <c r="G52" s="951"/>
      <c r="H52" s="951"/>
      <c r="I52" s="951"/>
      <c r="J52" s="951"/>
      <c r="K52" s="952"/>
      <c r="L52" s="137"/>
      <c r="M52" s="137"/>
      <c r="N52" s="137"/>
      <c r="O52" s="137"/>
      <c r="P52" s="137"/>
      <c r="Q52" s="137"/>
      <c r="R52" s="137"/>
      <c r="S52" s="137"/>
      <c r="T52" s="137"/>
      <c r="U52" s="137"/>
      <c r="V52" s="137"/>
      <c r="W52" s="137"/>
      <c r="X52" s="137"/>
      <c r="Y52" s="137"/>
      <c r="Z52" s="953">
        <f>SUM(Result_ParticipantCosts_Y1, Result_ParticipantCosts_Y2, Result_ParticipantCosts_Y3, Result_ParticipantCosts_Y4, Result_ParticipantCosts_Y5, Result_ParticipantCosts_Y6)</f>
        <v>0</v>
      </c>
      <c r="AA52" s="515"/>
      <c r="AB52" s="515"/>
      <c r="AC52" s="516"/>
      <c r="AD52" s="137"/>
      <c r="AE52" s="10"/>
    </row>
    <row r="53" spans="2:31" x14ac:dyDescent="0.2">
      <c r="B53" s="10"/>
      <c r="C53" s="137"/>
      <c r="D53" s="142"/>
      <c r="E53" s="137"/>
      <c r="F53" s="950" t="s">
        <v>171</v>
      </c>
      <c r="G53" s="951"/>
      <c r="H53" s="951"/>
      <c r="I53" s="951"/>
      <c r="J53" s="951"/>
      <c r="K53" s="952"/>
      <c r="L53" s="137"/>
      <c r="M53" s="137"/>
      <c r="N53" s="137"/>
      <c r="O53" s="137"/>
      <c r="P53" s="137"/>
      <c r="Q53" s="137"/>
      <c r="R53" s="137"/>
      <c r="S53" s="137"/>
      <c r="T53" s="137"/>
      <c r="U53" s="137"/>
      <c r="V53" s="137"/>
      <c r="W53" s="137"/>
      <c r="X53" s="137"/>
      <c r="Y53" s="137"/>
      <c r="Z53" s="953">
        <f>SUM(Result_SubawardCosts_Y1, Result_SubawardCosts_Y2, Result_SubawardCosts_Y3, Result_SubawardCosts_Y4, Result_SubawardCosts_Y5, Result_SubawardCosts_Y6)</f>
        <v>0</v>
      </c>
      <c r="AA53" s="515"/>
      <c r="AB53" s="515"/>
      <c r="AC53" s="516"/>
      <c r="AD53" s="137"/>
      <c r="AE53" s="10"/>
    </row>
    <row r="54" spans="2:31" x14ac:dyDescent="0.2">
      <c r="B54" s="10"/>
      <c r="C54" s="137"/>
      <c r="D54" s="142"/>
      <c r="E54" s="137"/>
      <c r="F54" s="922" t="s">
        <v>147</v>
      </c>
      <c r="G54" s="923"/>
      <c r="H54" s="923"/>
      <c r="I54" s="923"/>
      <c r="J54" s="923"/>
      <c r="K54" s="924"/>
      <c r="L54" s="137"/>
      <c r="M54" s="137"/>
      <c r="N54" s="137"/>
      <c r="O54" s="137"/>
      <c r="P54" s="137"/>
      <c r="Q54" s="137"/>
      <c r="R54" s="175" t="s">
        <v>193</v>
      </c>
      <c r="S54" s="137"/>
      <c r="T54" s="515">
        <f>SUM('Budget Period 1'!AK117, 'Budget Period 2'!AK117, 'Budget Period 3'!AK117, 'Budget Period 4'!AK117, 'Budget Period 5'!AK117, 'Budget Period 6'!AK117)</f>
        <v>0</v>
      </c>
      <c r="U54" s="515"/>
      <c r="V54" s="515"/>
      <c r="W54" s="515"/>
      <c r="X54" s="137"/>
      <c r="Y54" s="137"/>
      <c r="Z54" s="934">
        <f>SUM(T54:W59)</f>
        <v>0</v>
      </c>
      <c r="AA54" s="935"/>
      <c r="AB54" s="935"/>
      <c r="AC54" s="936"/>
      <c r="AD54" s="137"/>
      <c r="AE54" s="10"/>
    </row>
    <row r="55" spans="2:31" x14ac:dyDescent="0.2">
      <c r="B55" s="10"/>
      <c r="C55" s="137"/>
      <c r="D55" s="137"/>
      <c r="E55" s="137"/>
      <c r="F55" s="957"/>
      <c r="G55" s="958"/>
      <c r="H55" s="958"/>
      <c r="I55" s="958"/>
      <c r="J55" s="958"/>
      <c r="K55" s="959"/>
      <c r="L55" s="137"/>
      <c r="M55" s="137"/>
      <c r="N55" s="137"/>
      <c r="O55" s="137"/>
      <c r="P55" s="137"/>
      <c r="Q55" s="137"/>
      <c r="R55" s="175" t="s">
        <v>194</v>
      </c>
      <c r="S55" s="137"/>
      <c r="T55" s="515">
        <f>SUM('Budget Period 1'!AK118, 'Budget Period 2'!AK118, 'Budget Period 3'!AK118, 'Budget Period 4'!AK118, 'Budget Period 5'!AK118, 'Budget Period 6'!AK118)</f>
        <v>0</v>
      </c>
      <c r="U55" s="515"/>
      <c r="V55" s="515"/>
      <c r="W55" s="515"/>
      <c r="X55" s="137"/>
      <c r="Y55" s="137"/>
      <c r="Z55" s="947"/>
      <c r="AA55" s="948"/>
      <c r="AB55" s="948"/>
      <c r="AC55" s="949"/>
      <c r="AD55" s="137"/>
      <c r="AE55" s="10"/>
    </row>
    <row r="56" spans="2:31" x14ac:dyDescent="0.2">
      <c r="B56" s="10"/>
      <c r="C56" s="137"/>
      <c r="D56" s="137"/>
      <c r="E56" s="137"/>
      <c r="F56" s="957"/>
      <c r="G56" s="958"/>
      <c r="H56" s="958"/>
      <c r="I56" s="958"/>
      <c r="J56" s="958"/>
      <c r="K56" s="959"/>
      <c r="L56" s="137"/>
      <c r="M56" s="137"/>
      <c r="N56" s="137"/>
      <c r="O56" s="137"/>
      <c r="P56" s="137"/>
      <c r="Q56" s="137"/>
      <c r="R56" s="175" t="s">
        <v>195</v>
      </c>
      <c r="S56" s="137"/>
      <c r="T56" s="515">
        <f>SUM('Budget Period 1'!AK119:AK122, 'Budget Period 2'!AK119:AK122, 'Budget Period 3'!AK119:AK122, 'Budget Period 4'!AK119:AK122, 'Budget Period 5'!AK119:AK122, 'Budget Period 6'!AK119:AK122)</f>
        <v>0</v>
      </c>
      <c r="U56" s="515"/>
      <c r="V56" s="515"/>
      <c r="W56" s="515"/>
      <c r="X56" s="137"/>
      <c r="Y56" s="137"/>
      <c r="Z56" s="947"/>
      <c r="AA56" s="948"/>
      <c r="AB56" s="948"/>
      <c r="AC56" s="949"/>
      <c r="AD56" s="137"/>
      <c r="AE56" s="10"/>
    </row>
    <row r="57" spans="2:31" x14ac:dyDescent="0.2">
      <c r="B57" s="10"/>
      <c r="C57" s="137"/>
      <c r="D57" s="137"/>
      <c r="E57" s="137"/>
      <c r="F57" s="957"/>
      <c r="G57" s="958"/>
      <c r="H57" s="958"/>
      <c r="I57" s="958"/>
      <c r="J57" s="958"/>
      <c r="K57" s="959"/>
      <c r="L57" s="137"/>
      <c r="M57" s="137"/>
      <c r="N57" s="137"/>
      <c r="O57" s="137"/>
      <c r="P57" s="137"/>
      <c r="Q57" s="137"/>
      <c r="R57" s="175" t="s">
        <v>196</v>
      </c>
      <c r="S57" s="137"/>
      <c r="T57" s="515">
        <f>SUM('Budget Period 1'!AK123, 'Budget Period 2'!AK123, 'Budget Period 3'!AK123, 'Budget Period 4'!AK123, 'Budget Period 5'!AK123, 'Budget Period 6'!AK123)</f>
        <v>0</v>
      </c>
      <c r="U57" s="515"/>
      <c r="V57" s="515"/>
      <c r="W57" s="515"/>
      <c r="X57" s="137"/>
      <c r="Y57" s="137"/>
      <c r="Z57" s="947"/>
      <c r="AA57" s="948"/>
      <c r="AB57" s="948"/>
      <c r="AC57" s="949"/>
      <c r="AD57" s="137"/>
      <c r="AE57" s="10"/>
    </row>
    <row r="58" spans="2:31" x14ac:dyDescent="0.2">
      <c r="B58" s="10"/>
      <c r="C58" s="137"/>
      <c r="D58" s="137"/>
      <c r="E58" s="137"/>
      <c r="F58" s="957"/>
      <c r="G58" s="958"/>
      <c r="H58" s="958"/>
      <c r="I58" s="958"/>
      <c r="J58" s="958"/>
      <c r="K58" s="959"/>
      <c r="L58" s="137"/>
      <c r="M58" s="137"/>
      <c r="N58" s="137"/>
      <c r="O58" s="137"/>
      <c r="P58" s="137"/>
      <c r="Q58" s="137"/>
      <c r="R58" s="175" t="s">
        <v>189</v>
      </c>
      <c r="S58" s="137"/>
      <c r="T58" s="515">
        <f>SUM(Result_TuitionTOTAL_Y1, Result_TuitionTOTAL_Y2, Result_TuitionTOTAL_Y3, Result_TuitionTOTAL_Y4, Result_TuitionTOTAL_Y5, Result_TuitionTOTAL_Y6)</f>
        <v>0</v>
      </c>
      <c r="U58" s="515"/>
      <c r="V58" s="515"/>
      <c r="W58" s="515"/>
      <c r="X58" s="137"/>
      <c r="Y58" s="137"/>
      <c r="Z58" s="947"/>
      <c r="AA58" s="948"/>
      <c r="AB58" s="948"/>
      <c r="AC58" s="949"/>
      <c r="AD58" s="137"/>
      <c r="AE58" s="10"/>
    </row>
    <row r="59" spans="2:31" ht="13.5" thickBot="1" x14ac:dyDescent="0.25">
      <c r="B59" s="10"/>
      <c r="C59" s="137"/>
      <c r="D59" s="137"/>
      <c r="E59" s="137"/>
      <c r="F59" s="925"/>
      <c r="G59" s="926"/>
      <c r="H59" s="926"/>
      <c r="I59" s="926"/>
      <c r="J59" s="926"/>
      <c r="K59" s="927"/>
      <c r="L59" s="137"/>
      <c r="M59" s="137"/>
      <c r="N59" s="137"/>
      <c r="O59" s="137"/>
      <c r="P59" s="137"/>
      <c r="Q59" s="137"/>
      <c r="R59" s="175" t="s">
        <v>197</v>
      </c>
      <c r="S59" s="137"/>
      <c r="T59" s="515">
        <f>SUM(Data_DirectCostsOther_Y1,Data_DirectCostsOther_Y2,Data_DirectCostsOther_Y3,Data_DirectCostsOther_Y4,Data_DirectCostsOther_Y5,Data_DirectCostsOther_Y6)</f>
        <v>0</v>
      </c>
      <c r="U59" s="515"/>
      <c r="V59" s="515"/>
      <c r="W59" s="515"/>
      <c r="X59" s="137"/>
      <c r="Y59" s="137"/>
      <c r="Z59" s="937"/>
      <c r="AA59" s="938"/>
      <c r="AB59" s="938"/>
      <c r="AC59" s="939"/>
      <c r="AD59" s="137"/>
      <c r="AE59" s="10"/>
    </row>
    <row r="60" spans="2:31" ht="13.5" thickBot="1" x14ac:dyDescent="0.25">
      <c r="B60" s="10"/>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0"/>
    </row>
    <row r="61" spans="2:31" ht="13.5" thickBot="1" x14ac:dyDescent="0.25">
      <c r="B61" s="10"/>
      <c r="C61" s="137"/>
      <c r="D61" s="137"/>
      <c r="E61" s="137"/>
      <c r="F61" s="173" t="s">
        <v>198</v>
      </c>
      <c r="G61" s="137"/>
      <c r="H61" s="137"/>
      <c r="I61" s="137"/>
      <c r="J61" s="137"/>
      <c r="K61" s="137"/>
      <c r="L61" s="137"/>
      <c r="M61" s="137"/>
      <c r="N61" s="137"/>
      <c r="O61" s="137"/>
      <c r="P61" s="137"/>
      <c r="Q61" s="137"/>
      <c r="R61" s="137"/>
      <c r="S61" s="137"/>
      <c r="T61" s="137"/>
      <c r="U61" s="137"/>
      <c r="V61" s="137"/>
      <c r="W61" s="137"/>
      <c r="X61" s="137"/>
      <c r="Y61" s="137"/>
      <c r="Z61" s="954">
        <f>SUM(Z49:AC59)</f>
        <v>0</v>
      </c>
      <c r="AA61" s="955"/>
      <c r="AB61" s="955"/>
      <c r="AC61" s="956"/>
      <c r="AD61" s="137"/>
      <c r="AE61" s="10"/>
    </row>
    <row r="62" spans="2:31" x14ac:dyDescent="0.2">
      <c r="B62" s="10"/>
      <c r="C62" s="147"/>
      <c r="D62" s="144"/>
      <c r="E62" s="144"/>
      <c r="F62" s="182"/>
      <c r="G62" s="144"/>
      <c r="H62" s="144"/>
      <c r="I62" s="144"/>
      <c r="J62" s="144"/>
      <c r="K62" s="144"/>
      <c r="L62" s="144"/>
      <c r="M62" s="144"/>
      <c r="N62" s="144"/>
      <c r="O62" s="144"/>
      <c r="P62" s="144"/>
      <c r="Q62" s="144"/>
      <c r="R62" s="144"/>
      <c r="S62" s="144"/>
      <c r="T62" s="144"/>
      <c r="U62" s="144"/>
      <c r="V62" s="144"/>
      <c r="W62" s="144"/>
      <c r="X62" s="144"/>
      <c r="Y62" s="144"/>
      <c r="Z62" s="183"/>
      <c r="AA62" s="183"/>
      <c r="AB62" s="183"/>
      <c r="AC62" s="183"/>
      <c r="AD62" s="148"/>
      <c r="AE62" s="10"/>
    </row>
    <row r="63" spans="2:31" ht="13.5" thickBot="1" x14ac:dyDescent="0.25">
      <c r="B63" s="10"/>
      <c r="C63" s="137"/>
      <c r="D63" s="137"/>
      <c r="E63" s="137"/>
      <c r="F63" s="173"/>
      <c r="G63" s="137"/>
      <c r="H63" s="137"/>
      <c r="I63" s="137"/>
      <c r="J63" s="137"/>
      <c r="K63" s="137"/>
      <c r="L63" s="137"/>
      <c r="M63" s="137"/>
      <c r="N63" s="137"/>
      <c r="O63" s="137"/>
      <c r="P63" s="137"/>
      <c r="Q63" s="137"/>
      <c r="R63" s="137"/>
      <c r="S63" s="137"/>
      <c r="T63" s="137"/>
      <c r="U63" s="137"/>
      <c r="V63" s="137"/>
      <c r="W63" s="137"/>
      <c r="X63" s="137"/>
      <c r="Y63" s="137"/>
      <c r="Z63" s="176"/>
      <c r="AA63" s="176"/>
      <c r="AB63" s="176"/>
      <c r="AC63" s="176"/>
      <c r="AD63" s="137"/>
      <c r="AE63" s="10"/>
    </row>
    <row r="64" spans="2:31" ht="13.5" thickBot="1" x14ac:dyDescent="0.25">
      <c r="B64" s="10"/>
      <c r="C64" s="137"/>
      <c r="D64" s="142" t="s">
        <v>200</v>
      </c>
      <c r="E64" s="137"/>
      <c r="F64" s="137"/>
      <c r="G64" s="137"/>
      <c r="H64" s="137"/>
      <c r="I64" s="137"/>
      <c r="J64" s="137"/>
      <c r="K64" s="137"/>
      <c r="L64" s="137"/>
      <c r="M64" s="137"/>
      <c r="N64" s="137"/>
      <c r="O64" s="137"/>
      <c r="P64" s="137"/>
      <c r="Q64" s="137"/>
      <c r="R64" s="137"/>
      <c r="S64" s="137"/>
      <c r="T64" s="137"/>
      <c r="U64" s="137"/>
      <c r="V64" s="137"/>
      <c r="W64" s="137"/>
      <c r="X64" s="137"/>
      <c r="Y64" s="137"/>
      <c r="Z64" s="876" t="s">
        <v>175</v>
      </c>
      <c r="AA64" s="872"/>
      <c r="AB64" s="872"/>
      <c r="AC64" s="873"/>
      <c r="AD64" s="137"/>
      <c r="AE64" s="10"/>
    </row>
    <row r="65" spans="2:31" ht="10.5" customHeight="1" x14ac:dyDescent="0.2">
      <c r="B65" s="10"/>
      <c r="C65" s="137"/>
      <c r="D65" s="137"/>
      <c r="E65" s="137"/>
      <c r="F65" s="922" t="s">
        <v>199</v>
      </c>
      <c r="G65" s="923"/>
      <c r="H65" s="923"/>
      <c r="I65" s="923"/>
      <c r="J65" s="923"/>
      <c r="K65" s="924"/>
      <c r="L65" s="137"/>
      <c r="M65" s="137"/>
      <c r="N65" s="137"/>
      <c r="O65" s="137"/>
      <c r="P65" s="137"/>
      <c r="Q65" s="137"/>
      <c r="R65" s="137"/>
      <c r="S65" s="137"/>
      <c r="T65" s="137"/>
      <c r="U65" s="137"/>
      <c r="V65" s="137"/>
      <c r="W65" s="137"/>
      <c r="X65" s="137"/>
      <c r="Y65" s="137"/>
      <c r="Z65" s="928">
        <f>SUM(Result_TotalDirectCosts_Y1, Result_TotalDirectCosts_Y2, Result_TotalDirectCosts_Y3, Result_TotalDirectCosts_Y4, Result_TotalDirectCosts_Y5, Result_TotalDirectCosts_Y6)</f>
        <v>0</v>
      </c>
      <c r="AA65" s="929"/>
      <c r="AB65" s="929"/>
      <c r="AC65" s="930"/>
      <c r="AD65" s="137"/>
      <c r="AE65" s="10"/>
    </row>
    <row r="66" spans="2:31" ht="10.5" customHeight="1" thickBot="1" x14ac:dyDescent="0.25">
      <c r="B66" s="10"/>
      <c r="C66" s="137"/>
      <c r="D66" s="137"/>
      <c r="E66" s="137"/>
      <c r="F66" s="925"/>
      <c r="G66" s="926"/>
      <c r="H66" s="926"/>
      <c r="I66" s="926"/>
      <c r="J66" s="926"/>
      <c r="K66" s="927"/>
      <c r="L66" s="137"/>
      <c r="M66" s="137"/>
      <c r="N66" s="137"/>
      <c r="O66" s="137"/>
      <c r="P66" s="137"/>
      <c r="Q66" s="137"/>
      <c r="R66" s="137"/>
      <c r="S66" s="137"/>
      <c r="T66" s="137"/>
      <c r="U66" s="137"/>
      <c r="V66" s="137"/>
      <c r="W66" s="137"/>
      <c r="X66" s="137"/>
      <c r="Y66" s="137"/>
      <c r="Z66" s="931"/>
      <c r="AA66" s="932"/>
      <c r="AB66" s="932"/>
      <c r="AC66" s="933"/>
      <c r="AD66" s="137"/>
      <c r="AE66" s="10"/>
    </row>
    <row r="67" spans="2:31" ht="10.5" customHeight="1" x14ac:dyDescent="0.2">
      <c r="B67" s="10"/>
      <c r="C67" s="137"/>
      <c r="D67" s="137"/>
      <c r="E67" s="137"/>
      <c r="F67" s="922" t="s">
        <v>285</v>
      </c>
      <c r="G67" s="923"/>
      <c r="H67" s="923"/>
      <c r="I67" s="923"/>
      <c r="J67" s="923"/>
      <c r="K67" s="924"/>
      <c r="L67" s="137"/>
      <c r="M67" s="137"/>
      <c r="N67" s="137"/>
      <c r="O67" s="137"/>
      <c r="P67" s="137"/>
      <c r="Q67" s="137"/>
      <c r="R67" s="137"/>
      <c r="S67" s="137"/>
      <c r="T67" s="137"/>
      <c r="U67" s="137"/>
      <c r="V67" s="137"/>
      <c r="W67" s="137"/>
      <c r="X67" s="137"/>
      <c r="Y67" s="137"/>
      <c r="Z67" s="928">
        <f>SUM(Result_FACostBase_Y1,Result_FACostBase_Y2,Result_FACostBase_Y3,Result_FACostBase_Y4,Result_FACostBase_Y5,Result_FACostBase_Y6)</f>
        <v>0</v>
      </c>
      <c r="AA67" s="929"/>
      <c r="AB67" s="929"/>
      <c r="AC67" s="930"/>
      <c r="AD67" s="137"/>
      <c r="AE67" s="10"/>
    </row>
    <row r="68" spans="2:31" ht="10.5" customHeight="1" x14ac:dyDescent="0.2">
      <c r="B68" s="10"/>
      <c r="C68" s="137"/>
      <c r="D68" s="137"/>
      <c r="E68" s="137"/>
      <c r="F68" s="925"/>
      <c r="G68" s="926"/>
      <c r="H68" s="926"/>
      <c r="I68" s="926"/>
      <c r="J68" s="926"/>
      <c r="K68" s="927"/>
      <c r="L68" s="137"/>
      <c r="M68" s="137"/>
      <c r="N68" s="137"/>
      <c r="O68" s="137"/>
      <c r="P68" s="137"/>
      <c r="Q68" s="137"/>
      <c r="R68" s="137"/>
      <c r="S68" s="137"/>
      <c r="T68" s="137"/>
      <c r="U68" s="137"/>
      <c r="V68" s="137"/>
      <c r="W68" s="137"/>
      <c r="X68" s="137"/>
      <c r="Y68" s="137"/>
      <c r="Z68" s="931"/>
      <c r="AA68" s="932"/>
      <c r="AB68" s="932"/>
      <c r="AC68" s="933"/>
      <c r="AD68" s="137"/>
      <c r="AE68" s="10"/>
    </row>
    <row r="69" spans="2:31" ht="10.5" customHeight="1" x14ac:dyDescent="0.2">
      <c r="B69" s="10"/>
      <c r="C69" s="137"/>
      <c r="D69" s="137"/>
      <c r="E69" s="137"/>
      <c r="F69" s="922" t="s">
        <v>210</v>
      </c>
      <c r="G69" s="923"/>
      <c r="H69" s="923"/>
      <c r="I69" s="923"/>
      <c r="J69" s="923"/>
      <c r="K69" s="924"/>
      <c r="L69" s="137"/>
      <c r="M69" s="137"/>
      <c r="N69" s="137"/>
      <c r="O69" s="137"/>
      <c r="P69" s="137"/>
      <c r="Q69" s="137"/>
      <c r="R69" s="137"/>
      <c r="S69" s="137"/>
      <c r="T69" s="137"/>
      <c r="U69" s="137"/>
      <c r="V69" s="137"/>
      <c r="W69" s="137"/>
      <c r="X69" s="137"/>
      <c r="Y69" s="137"/>
      <c r="Z69" s="934">
        <f>SUM(Result_IndirectCosts_Y1, Result_IndirectCosts_Y2, Result_IndirectCosts_Y3, Result_IndirectCosts_Y4, Result_IndirectCosts_Y5, Result_IndirectCosts_Y6)</f>
        <v>0</v>
      </c>
      <c r="AA69" s="935"/>
      <c r="AB69" s="935"/>
      <c r="AC69" s="936"/>
      <c r="AD69" s="137"/>
      <c r="AE69" s="10"/>
    </row>
    <row r="70" spans="2:31" ht="10.5" customHeight="1" thickBot="1" x14ac:dyDescent="0.25">
      <c r="B70" s="10"/>
      <c r="C70" s="137"/>
      <c r="D70" s="137"/>
      <c r="E70" s="137"/>
      <c r="F70" s="925"/>
      <c r="G70" s="926"/>
      <c r="H70" s="926"/>
      <c r="I70" s="926"/>
      <c r="J70" s="926"/>
      <c r="K70" s="927"/>
      <c r="L70" s="137"/>
      <c r="M70" s="137"/>
      <c r="N70" s="137"/>
      <c r="O70" s="137"/>
      <c r="P70" s="137"/>
      <c r="Q70" s="137"/>
      <c r="R70" s="137"/>
      <c r="S70" s="137"/>
      <c r="T70" s="137"/>
      <c r="U70" s="137"/>
      <c r="V70" s="137"/>
      <c r="W70" s="137"/>
      <c r="X70" s="137"/>
      <c r="Y70" s="137"/>
      <c r="Z70" s="937"/>
      <c r="AA70" s="938"/>
      <c r="AB70" s="938"/>
      <c r="AC70" s="939"/>
      <c r="AD70" s="137"/>
      <c r="AE70" s="10"/>
    </row>
    <row r="71" spans="2:31" ht="13.5" thickBot="1" x14ac:dyDescent="0.25">
      <c r="B71" s="10"/>
      <c r="C71" s="137"/>
      <c r="D71" s="137"/>
      <c r="E71" s="137"/>
      <c r="F71" s="181"/>
      <c r="G71" s="181"/>
      <c r="H71" s="181"/>
      <c r="I71" s="181"/>
      <c r="J71" s="181"/>
      <c r="K71" s="181"/>
      <c r="L71" s="137"/>
      <c r="M71" s="137"/>
      <c r="N71" s="137"/>
      <c r="O71" s="137"/>
      <c r="P71" s="137"/>
      <c r="Q71" s="137"/>
      <c r="R71" s="137"/>
      <c r="S71" s="137"/>
      <c r="T71" s="137"/>
      <c r="U71" s="137"/>
      <c r="V71" s="137"/>
      <c r="W71" s="137"/>
      <c r="X71" s="137"/>
      <c r="Y71" s="137"/>
      <c r="Z71" s="184"/>
      <c r="AA71" s="184"/>
      <c r="AB71" s="184"/>
      <c r="AC71" s="184"/>
      <c r="AD71" s="137"/>
      <c r="AE71" s="10"/>
    </row>
    <row r="72" spans="2:31" x14ac:dyDescent="0.2">
      <c r="B72" s="10"/>
      <c r="C72" s="137"/>
      <c r="D72" s="137"/>
      <c r="E72" s="137"/>
      <c r="F72" s="946" t="s">
        <v>201</v>
      </c>
      <c r="G72" s="946"/>
      <c r="H72" s="946"/>
      <c r="I72" s="946"/>
      <c r="J72" s="946"/>
      <c r="K72" s="946"/>
      <c r="L72" s="946"/>
      <c r="M72" s="137"/>
      <c r="N72" s="137"/>
      <c r="O72" s="137"/>
      <c r="P72" s="137"/>
      <c r="Q72" s="137"/>
      <c r="R72" s="137"/>
      <c r="S72" s="137"/>
      <c r="T72" s="137"/>
      <c r="U72" s="137"/>
      <c r="V72" s="137"/>
      <c r="W72" s="137"/>
      <c r="X72" s="137"/>
      <c r="Y72" s="137"/>
      <c r="Z72" s="940">
        <f>Z65+Z69</f>
        <v>0</v>
      </c>
      <c r="AA72" s="941"/>
      <c r="AB72" s="941"/>
      <c r="AC72" s="942"/>
      <c r="AD72" s="137"/>
      <c r="AE72" s="10"/>
    </row>
    <row r="73" spans="2:31" ht="13.5" thickBot="1" x14ac:dyDescent="0.25">
      <c r="B73" s="10"/>
      <c r="C73" s="137"/>
      <c r="D73" s="137"/>
      <c r="E73" s="137"/>
      <c r="F73" s="946"/>
      <c r="G73" s="946"/>
      <c r="H73" s="946"/>
      <c r="I73" s="946"/>
      <c r="J73" s="946"/>
      <c r="K73" s="946"/>
      <c r="L73" s="946"/>
      <c r="M73" s="137"/>
      <c r="N73" s="137"/>
      <c r="O73" s="137"/>
      <c r="P73" s="137"/>
      <c r="Q73" s="137"/>
      <c r="R73" s="137"/>
      <c r="S73" s="137"/>
      <c r="T73" s="137"/>
      <c r="U73" s="137"/>
      <c r="V73" s="137"/>
      <c r="W73" s="137"/>
      <c r="X73" s="137"/>
      <c r="Y73" s="137"/>
      <c r="Z73" s="943"/>
      <c r="AA73" s="944"/>
      <c r="AB73" s="944"/>
      <c r="AC73" s="945"/>
      <c r="AD73" s="137"/>
      <c r="AE73" s="10"/>
    </row>
    <row r="74" spans="2:31" ht="13.5" thickBot="1" x14ac:dyDescent="0.25">
      <c r="B74" s="10"/>
      <c r="C74" s="167"/>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71"/>
      <c r="AE74" s="10"/>
    </row>
    <row r="75" spans="2:31" ht="3.75" customHeight="1" thickBot="1" x14ac:dyDescent="0.25">
      <c r="B75" s="20"/>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21"/>
    </row>
  </sheetData>
  <sheetProtection algorithmName="SHA-512" hashValue="NbI3ej02iNnrUwtW0UHyf+YFG7/ubwdWT80dy7IwsQ7DZ8S9hn9SiZ7Q0fguMIRbzNCjgCz7THf9Vhrbn52+Mw==" saltValue="MnwHjb7K6JtVKazwrhu1cg==" spinCount="100000" sheet="1" selectLockedCells="1" selectUnlockedCells="1"/>
  <mergeCells count="177">
    <mergeCell ref="Z14:AC14"/>
    <mergeCell ref="F15:K15"/>
    <mergeCell ref="L15:N15"/>
    <mergeCell ref="O15:Q15"/>
    <mergeCell ref="R15:T15"/>
    <mergeCell ref="U15:W15"/>
    <mergeCell ref="R12:T12"/>
    <mergeCell ref="U12:W12"/>
    <mergeCell ref="Z13:AC13"/>
    <mergeCell ref="F14:K14"/>
    <mergeCell ref="L14:N14"/>
    <mergeCell ref="O14:Q14"/>
    <mergeCell ref="R14:T14"/>
    <mergeCell ref="U14:W14"/>
    <mergeCell ref="R13:T13"/>
    <mergeCell ref="U13:W13"/>
    <mergeCell ref="Z12:AC12"/>
    <mergeCell ref="F13:K13"/>
    <mergeCell ref="L13:N13"/>
    <mergeCell ref="O13:Q13"/>
    <mergeCell ref="F12:K12"/>
    <mergeCell ref="L12:N12"/>
    <mergeCell ref="O12:Q12"/>
    <mergeCell ref="Z16:AC16"/>
    <mergeCell ref="F17:K17"/>
    <mergeCell ref="L17:N17"/>
    <mergeCell ref="O17:Q17"/>
    <mergeCell ref="R17:T17"/>
    <mergeCell ref="U17:W17"/>
    <mergeCell ref="R16:T16"/>
    <mergeCell ref="U16:W16"/>
    <mergeCell ref="Z15:AC15"/>
    <mergeCell ref="F16:K16"/>
    <mergeCell ref="L16:N16"/>
    <mergeCell ref="O16:Q16"/>
    <mergeCell ref="Z18:AC18"/>
    <mergeCell ref="F19:K19"/>
    <mergeCell ref="L19:N19"/>
    <mergeCell ref="O19:Q19"/>
    <mergeCell ref="Z17:AC17"/>
    <mergeCell ref="F18:K18"/>
    <mergeCell ref="L18:N18"/>
    <mergeCell ref="O18:Q18"/>
    <mergeCell ref="R18:T18"/>
    <mergeCell ref="U18:W18"/>
    <mergeCell ref="Z20:AC20"/>
    <mergeCell ref="F21:K21"/>
    <mergeCell ref="L21:N21"/>
    <mergeCell ref="O21:Q21"/>
    <mergeCell ref="R21:T21"/>
    <mergeCell ref="U21:W21"/>
    <mergeCell ref="Z19:AC19"/>
    <mergeCell ref="F20:K20"/>
    <mergeCell ref="L20:N20"/>
    <mergeCell ref="O20:Q20"/>
    <mergeCell ref="R20:T20"/>
    <mergeCell ref="U20:W20"/>
    <mergeCell ref="R19:T19"/>
    <mergeCell ref="U19:W19"/>
    <mergeCell ref="Z21:AC21"/>
    <mergeCell ref="Z52:AC52"/>
    <mergeCell ref="F49:K49"/>
    <mergeCell ref="F22:K22"/>
    <mergeCell ref="L22:N22"/>
    <mergeCell ref="O22:Q22"/>
    <mergeCell ref="L24:N24"/>
    <mergeCell ref="O24:Q24"/>
    <mergeCell ref="R24:T24"/>
    <mergeCell ref="U24:W24"/>
    <mergeCell ref="U25:W25"/>
    <mergeCell ref="Z22:AC22"/>
    <mergeCell ref="F23:K23"/>
    <mergeCell ref="L23:N23"/>
    <mergeCell ref="O23:Q23"/>
    <mergeCell ref="R23:T23"/>
    <mergeCell ref="U23:W23"/>
    <mergeCell ref="R22:T22"/>
    <mergeCell ref="U22:W22"/>
    <mergeCell ref="Z23:AC23"/>
    <mergeCell ref="Z25:AC25"/>
    <mergeCell ref="Z24:AC24"/>
    <mergeCell ref="F25:K25"/>
    <mergeCell ref="L25:N25"/>
    <mergeCell ref="O25:Q25"/>
    <mergeCell ref="F50:K51"/>
    <mergeCell ref="Z45:AC45"/>
    <mergeCell ref="U38:W38"/>
    <mergeCell ref="Z37:AC37"/>
    <mergeCell ref="F42:K42"/>
    <mergeCell ref="F43:K43"/>
    <mergeCell ref="Z38:AC38"/>
    <mergeCell ref="Z41:AC41"/>
    <mergeCell ref="Z42:AC42"/>
    <mergeCell ref="Z43:AC43"/>
    <mergeCell ref="Z49:AC49"/>
    <mergeCell ref="U27:W27"/>
    <mergeCell ref="F24:K24"/>
    <mergeCell ref="F53:K53"/>
    <mergeCell ref="Z53:AC53"/>
    <mergeCell ref="F65:K66"/>
    <mergeCell ref="Z61:AC61"/>
    <mergeCell ref="Z64:AC64"/>
    <mergeCell ref="T54:W54"/>
    <mergeCell ref="T55:W55"/>
    <mergeCell ref="T56:W56"/>
    <mergeCell ref="T58:W58"/>
    <mergeCell ref="F54:K59"/>
    <mergeCell ref="F26:K26"/>
    <mergeCell ref="L26:N26"/>
    <mergeCell ref="O26:Q26"/>
    <mergeCell ref="R26:T26"/>
    <mergeCell ref="U26:W26"/>
    <mergeCell ref="R25:T25"/>
    <mergeCell ref="Z26:AC26"/>
    <mergeCell ref="F52:K52"/>
    <mergeCell ref="Z50:AC51"/>
    <mergeCell ref="T50:W50"/>
    <mergeCell ref="T51:W51"/>
    <mergeCell ref="U37:W37"/>
    <mergeCell ref="F69:K70"/>
    <mergeCell ref="Z65:AC66"/>
    <mergeCell ref="Z69:AC70"/>
    <mergeCell ref="T59:W59"/>
    <mergeCell ref="T57:W57"/>
    <mergeCell ref="Z72:AC73"/>
    <mergeCell ref="F72:L73"/>
    <mergeCell ref="F67:K68"/>
    <mergeCell ref="Z67:AC68"/>
    <mergeCell ref="Z54:AC59"/>
    <mergeCell ref="F10:K11"/>
    <mergeCell ref="L10:N11"/>
    <mergeCell ref="Z10:AC11"/>
    <mergeCell ref="Z30:AC30"/>
    <mergeCell ref="F31:K31"/>
    <mergeCell ref="F30:K30"/>
    <mergeCell ref="L30:N30"/>
    <mergeCell ref="O30:Q30"/>
    <mergeCell ref="R30:T30"/>
    <mergeCell ref="Z31:AC31"/>
    <mergeCell ref="Z28:AC28"/>
    <mergeCell ref="F29:K29"/>
    <mergeCell ref="L29:N29"/>
    <mergeCell ref="R31:T31"/>
    <mergeCell ref="U31:W31"/>
    <mergeCell ref="L31:N31"/>
    <mergeCell ref="O31:Q31"/>
    <mergeCell ref="O29:Q29"/>
    <mergeCell ref="R29:T29"/>
    <mergeCell ref="U29:W29"/>
    <mergeCell ref="Z29:AC29"/>
    <mergeCell ref="Z27:AC27"/>
    <mergeCell ref="F28:K28"/>
    <mergeCell ref="L28:N28"/>
    <mergeCell ref="R6:AC7"/>
    <mergeCell ref="AA3:AC3"/>
    <mergeCell ref="O10:W10"/>
    <mergeCell ref="O11:Q11"/>
    <mergeCell ref="R11:T11"/>
    <mergeCell ref="Z48:AC48"/>
    <mergeCell ref="U11:W11"/>
    <mergeCell ref="O33:Q33"/>
    <mergeCell ref="R33:T33"/>
    <mergeCell ref="U33:W33"/>
    <mergeCell ref="Z33:AC33"/>
    <mergeCell ref="C4:AD4"/>
    <mergeCell ref="F37:K37"/>
    <mergeCell ref="F38:K38"/>
    <mergeCell ref="U34:W34"/>
    <mergeCell ref="Z36:AC36"/>
    <mergeCell ref="O28:Q28"/>
    <mergeCell ref="U30:W30"/>
    <mergeCell ref="F27:K27"/>
    <mergeCell ref="L27:N27"/>
    <mergeCell ref="O27:Q27"/>
    <mergeCell ref="R27:T27"/>
    <mergeCell ref="R28:T28"/>
    <mergeCell ref="U28:W28"/>
  </mergeCells>
  <conditionalFormatting sqref="V5">
    <cfRule type="cellIs" dxfId="30" priority="17" stopIfTrue="1" operator="equal">
      <formula>0</formula>
    </cfRule>
  </conditionalFormatting>
  <conditionalFormatting sqref="F12:K33 V32:W33 O12:R33 U12:U33 S12:T12 S32:T33">
    <cfRule type="cellIs" dxfId="29" priority="6" stopIfTrue="1" operator="equal">
      <formula>0</formula>
    </cfRule>
  </conditionalFormatting>
  <conditionalFormatting sqref="R5:R6">
    <cfRule type="cellIs" dxfId="28" priority="2" stopIfTrue="1" operator="equal">
      <formula>0</formula>
    </cfRule>
  </conditionalFormatting>
  <conditionalFormatting sqref="I7">
    <cfRule type="cellIs" dxfId="27" priority="1" stopIfTrue="1" operator="lessThanOrEqual">
      <formula>0</formula>
    </cfRule>
  </conditionalFormatting>
  <dataValidations disablePrompts="1" count="1">
    <dataValidation type="decimal" operator="greaterThanOrEqual" allowBlank="1" showErrorMessage="1" errorTitle="Invalid Month Input" error="The number of months must be a decimal value greater than or equal to zero.  Entering half-months is acceptable.  For one-and-one-half months enter 1.5.  Click RETRY to change your entry, or CANCEL to undo your changes." sqref="R12:R33 S12:T12 S32:T33" xr:uid="{00000000-0002-0000-0800-000000000000}">
      <formula1>0</formula1>
    </dataValidation>
  </dataValidations>
  <printOptions horizontalCentered="1"/>
  <pageMargins left="0.5" right="0.5" top="0.75" bottom="0.75" header="0.3" footer="0.3"/>
  <pageSetup scale="99" fitToWidth="0" fitToHeight="0" orientation="portrait" r:id="rId1"/>
  <rowBreaks count="1" manualBreakCount="1">
    <brk id="46" max="16383" man="1"/>
  </rowBreaks>
  <ignoredErrors>
    <ignoredError sqref="L12:N31 O33:W33 U38 O13:W31 S12:T12 V12:W12 P12:Q12 O12 R12 U12" unlockedFormula="1"/>
    <ignoredError sqref="F12:K18 F19:K31" formulaRange="1"/>
    <ignoredError sqref="E12:E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479</vt:i4>
      </vt:variant>
    </vt:vector>
  </HeadingPairs>
  <TitlesOfParts>
    <vt:vector size="497" baseType="lpstr">
      <vt:lpstr>General Instructions</vt:lpstr>
      <vt:lpstr>Project Data</vt:lpstr>
      <vt:lpstr>Budget Period 1</vt:lpstr>
      <vt:lpstr>Budget Period 2</vt:lpstr>
      <vt:lpstr>Budget Period 3</vt:lpstr>
      <vt:lpstr>Budget Period 4</vt:lpstr>
      <vt:lpstr>Budget Period 5</vt:lpstr>
      <vt:lpstr>Budget Period 6</vt:lpstr>
      <vt:lpstr>Cumulative</vt:lpstr>
      <vt:lpstr>Totals</vt:lpstr>
      <vt:lpstr>Modular</vt:lpstr>
      <vt:lpstr>Industry</vt:lpstr>
      <vt:lpstr>Notes</vt:lpstr>
      <vt:lpstr>Detailed Instructions</vt:lpstr>
      <vt:lpstr>Rates</vt:lpstr>
      <vt:lpstr>ChangeLog</vt:lpstr>
      <vt:lpstr>Drop-Down_Options</vt:lpstr>
      <vt:lpstr>Calc</vt:lpstr>
      <vt:lpstr>Data_Agency</vt:lpstr>
      <vt:lpstr>Data_DirectCostsConsultants_Y1_1</vt:lpstr>
      <vt:lpstr>Data_DirectCostsConsultants_Y1_2</vt:lpstr>
      <vt:lpstr>Data_DirectCostsConsultants_Y1_3</vt:lpstr>
      <vt:lpstr>Data_DirectCostsConsultants_Y1_4</vt:lpstr>
      <vt:lpstr>Data_DirectCostsConsultants_Y2_1</vt:lpstr>
      <vt:lpstr>Data_DirectCostsConsultants_Y2_2</vt:lpstr>
      <vt:lpstr>Data_DirectCostsConsultants_Y2_3</vt:lpstr>
      <vt:lpstr>Data_DirectCostsConsultants_Y2_4</vt:lpstr>
      <vt:lpstr>Data_DirectCostsConsultants_Y3_1</vt:lpstr>
      <vt:lpstr>Data_DirectCostsConsultants_Y3_2</vt:lpstr>
      <vt:lpstr>Data_DirectCostsConsultants_Y3_3</vt:lpstr>
      <vt:lpstr>Data_DirectCostsConsultants_Y3_4</vt:lpstr>
      <vt:lpstr>Data_DirectCostsConsultants_Y4_1</vt:lpstr>
      <vt:lpstr>Data_DirectCostsConsultants_Y4_2</vt:lpstr>
      <vt:lpstr>Data_DirectCostsConsultants_Y4_3</vt:lpstr>
      <vt:lpstr>Data_DirectCostsConsultants_Y4_4</vt:lpstr>
      <vt:lpstr>Data_DirectCostsConsultants_Y5_1</vt:lpstr>
      <vt:lpstr>Data_DirectCostsConsultants_Y5_2</vt:lpstr>
      <vt:lpstr>Data_DirectCostsConsultants_Y5_3</vt:lpstr>
      <vt:lpstr>Data_DirectCostsConsultants_Y5_4</vt:lpstr>
      <vt:lpstr>Data_DirectCostsConsultants_Y6_1</vt:lpstr>
      <vt:lpstr>Data_DirectCostsConsultants_Y6_2</vt:lpstr>
      <vt:lpstr>Data_DirectCostsConsultants_Y6_3</vt:lpstr>
      <vt:lpstr>Data_DirectCostsConsultants_Y6_4</vt:lpstr>
      <vt:lpstr>Data_DirectCostsMaintenance_Y1</vt:lpstr>
      <vt:lpstr>Data_DirectCostsMaintenance_Y2</vt:lpstr>
      <vt:lpstr>Data_DirectCostsMaintenance_Y3</vt:lpstr>
      <vt:lpstr>Data_DirectCostsMaintenance_Y4</vt:lpstr>
      <vt:lpstr>Data_DirectCostsMaintenance_Y5</vt:lpstr>
      <vt:lpstr>Data_DirectCostsMaintenance_Y6</vt:lpstr>
      <vt:lpstr>Data_DirectCostsMaterialsSupplies_Y1</vt:lpstr>
      <vt:lpstr>Data_DirectCostsMaterialsSupplies_Y2</vt:lpstr>
      <vt:lpstr>Data_DirectCostsMaterialsSupplies_Y3</vt:lpstr>
      <vt:lpstr>Data_DirectCostsMaterialsSupplies_Y4</vt:lpstr>
      <vt:lpstr>Data_DirectCostsMaterialsSupplies_Y5</vt:lpstr>
      <vt:lpstr>Data_DirectCostsMaterialsSupplies_Y6</vt:lpstr>
      <vt:lpstr>Data_DirectCostsOther_Y1</vt:lpstr>
      <vt:lpstr>Data_DirectCostsOther_Y2</vt:lpstr>
      <vt:lpstr>Data_DirectCostsOther_Y3</vt:lpstr>
      <vt:lpstr>Data_DirectCostsOther_Y4</vt:lpstr>
      <vt:lpstr>Data_DirectCostsOther_Y5</vt:lpstr>
      <vt:lpstr>Data_DirectCostsOther_Y6</vt:lpstr>
      <vt:lpstr>Data_DirectCostsPublications_Y1</vt:lpstr>
      <vt:lpstr>Data_DirectCostsPublications_Y2</vt:lpstr>
      <vt:lpstr>Data_DirectCostsPublications_Y3</vt:lpstr>
      <vt:lpstr>Data_DirectCostsPublications_Y4</vt:lpstr>
      <vt:lpstr>Data_DirectCostsPublications_Y5</vt:lpstr>
      <vt:lpstr>Data_DirectCostsPublications_Y6</vt:lpstr>
      <vt:lpstr>Data_Exclude_Equipment</vt:lpstr>
      <vt:lpstr>Data_Exclude_Fringes</vt:lpstr>
      <vt:lpstr>Data_Exclude_NonUWSubawards</vt:lpstr>
      <vt:lpstr>Data_Exclude_NonUWSubawardsExceeding25K</vt:lpstr>
      <vt:lpstr>Data_Exclude_OtherCosts</vt:lpstr>
      <vt:lpstr>Data_Exclude_ParticipantCosts</vt:lpstr>
      <vt:lpstr>Data_Exclude_SalariesWages</vt:lpstr>
      <vt:lpstr>Data_Exclude_Travel</vt:lpstr>
      <vt:lpstr>Data_Exclude_Tuition</vt:lpstr>
      <vt:lpstr>Data_ParticipantCostsOther_Y1</vt:lpstr>
      <vt:lpstr>Data_ParticipantCostsOther_Y2</vt:lpstr>
      <vt:lpstr>Data_ParticipantCostsOther_Y3</vt:lpstr>
      <vt:lpstr>Data_ParticipantCostsOther_Y4</vt:lpstr>
      <vt:lpstr>Data_ParticipantCostsOther_Y5</vt:lpstr>
      <vt:lpstr>Data_ParticipantCostsOther_Y6</vt:lpstr>
      <vt:lpstr>Data_ParticipantStipends_Y1</vt:lpstr>
      <vt:lpstr>Data_ParticipantStipends_Y2</vt:lpstr>
      <vt:lpstr>Data_ParticipantStipends_Y3</vt:lpstr>
      <vt:lpstr>Data_ParticipantStipends_Y4</vt:lpstr>
      <vt:lpstr>Data_ParticipantStipends_Y5</vt:lpstr>
      <vt:lpstr>Data_ParticipantStipends_Y6</vt:lpstr>
      <vt:lpstr>Data_ParticipantSubsistence_Y1</vt:lpstr>
      <vt:lpstr>Data_ParticipantSubsistence_Y2</vt:lpstr>
      <vt:lpstr>Data_ParticipantSubsistence_Y3</vt:lpstr>
      <vt:lpstr>Data_ParticipantSubsistence_Y4</vt:lpstr>
      <vt:lpstr>Data_ParticipantSubsistence_Y5</vt:lpstr>
      <vt:lpstr>Data_ParticipantSubsistence_Y6</vt:lpstr>
      <vt:lpstr>Data_ParticipantTravel_Y1</vt:lpstr>
      <vt:lpstr>Data_ParticipantTravel_Y2</vt:lpstr>
      <vt:lpstr>Data_ParticipantTravel_Y3</vt:lpstr>
      <vt:lpstr>Data_ParticipantTravel_Y4</vt:lpstr>
      <vt:lpstr>Data_ParticipantTravel_Y5</vt:lpstr>
      <vt:lpstr>Data_ParticipantTravel_Y6</vt:lpstr>
      <vt:lpstr>Data_PIName</vt:lpstr>
      <vt:lpstr>Data_PreventTuitionCalculation</vt:lpstr>
      <vt:lpstr>Data_PrimeSponsor</vt:lpstr>
      <vt:lpstr>Data_ProjectEndDate</vt:lpstr>
      <vt:lpstr>Data_ProjectStartDate</vt:lpstr>
      <vt:lpstr>Data_ProjectTitle</vt:lpstr>
      <vt:lpstr>DATA_RA_Rate_Custom</vt:lpstr>
      <vt:lpstr>Data_SalaryInflationRate</vt:lpstr>
      <vt:lpstr>Data_SalaryInflationRatePI</vt:lpstr>
      <vt:lpstr>Data_Subaward_Y1_1</vt:lpstr>
      <vt:lpstr>Data_Subaward_Y1_2</vt:lpstr>
      <vt:lpstr>Data_Subaward_Y1_3</vt:lpstr>
      <vt:lpstr>Data_Subaward_Y1_4</vt:lpstr>
      <vt:lpstr>Data_Subaward_Y1_5</vt:lpstr>
      <vt:lpstr>Data_Subaward_Y2_1</vt:lpstr>
      <vt:lpstr>Data_Subaward_Y2_2</vt:lpstr>
      <vt:lpstr>Data_Subaward_Y2_3</vt:lpstr>
      <vt:lpstr>Data_Subaward_Y2_4</vt:lpstr>
      <vt:lpstr>Data_Subaward_Y2_5</vt:lpstr>
      <vt:lpstr>Data_Subaward_Y3_1</vt:lpstr>
      <vt:lpstr>Data_Subaward_Y3_2</vt:lpstr>
      <vt:lpstr>Data_Subaward_Y3_3</vt:lpstr>
      <vt:lpstr>Data_Subaward_Y3_4</vt:lpstr>
      <vt:lpstr>Data_Subaward_Y3_5</vt:lpstr>
      <vt:lpstr>Data_Subaward_Y4_1</vt:lpstr>
      <vt:lpstr>Data_Subaward_Y4_2</vt:lpstr>
      <vt:lpstr>Data_Subaward_Y4_3</vt:lpstr>
      <vt:lpstr>Data_Subaward_Y4_4</vt:lpstr>
      <vt:lpstr>Data_Subaward_Y4_5</vt:lpstr>
      <vt:lpstr>Data_Subaward_Y5_1</vt:lpstr>
      <vt:lpstr>Data_Subaward_Y5_2</vt:lpstr>
      <vt:lpstr>Data_Subaward_Y5_3</vt:lpstr>
      <vt:lpstr>Data_Subaward_Y5_4</vt:lpstr>
      <vt:lpstr>Data_Subaward_Y5_5</vt:lpstr>
      <vt:lpstr>Data_Subaward_Y6_1</vt:lpstr>
      <vt:lpstr>Data_Subaward_Y6_2</vt:lpstr>
      <vt:lpstr>Data_Subaward_Y6_3</vt:lpstr>
      <vt:lpstr>Data_Subaward_Y6_4</vt:lpstr>
      <vt:lpstr>Data_Subaward_Y6_5</vt:lpstr>
      <vt:lpstr>DropDown_FA_RateTypes</vt:lpstr>
      <vt:lpstr>DropDown_FABase</vt:lpstr>
      <vt:lpstr>DropDown_GradAssistantTypes</vt:lpstr>
      <vt:lpstr>DropDown_Modules</vt:lpstr>
      <vt:lpstr>DropDown_PayBasis</vt:lpstr>
      <vt:lpstr>DropDown_Period</vt:lpstr>
      <vt:lpstr>DropDown_ProjectType</vt:lpstr>
      <vt:lpstr>DropDown_RA_PA</vt:lpstr>
      <vt:lpstr>DropDown_RA_PA_LengthAndPercentage</vt:lpstr>
      <vt:lpstr>DropDown_RAAreaSelection</vt:lpstr>
      <vt:lpstr>Dropdown_Role</vt:lpstr>
      <vt:lpstr>DropDown_SponsorType</vt:lpstr>
      <vt:lpstr>FA_Rate_Instruction_Y1</vt:lpstr>
      <vt:lpstr>FA_Rate_Instruction_Y2</vt:lpstr>
      <vt:lpstr>FA_Rate_Instruction_Y3</vt:lpstr>
      <vt:lpstr>FA_Rate_Instruction_Y4</vt:lpstr>
      <vt:lpstr>FA_Rate_Instruction_Y5</vt:lpstr>
      <vt:lpstr>FA_Rate_Instruction_Y6</vt:lpstr>
      <vt:lpstr>FA_Rate_OffCampus_Y1</vt:lpstr>
      <vt:lpstr>FA_Rate_OffCampus_Y2</vt:lpstr>
      <vt:lpstr>FA_Rate_OffCampus_Y3</vt:lpstr>
      <vt:lpstr>FA_Rate_OffCampus_Y4</vt:lpstr>
      <vt:lpstr>FA_Rate_OffCampus_Y5</vt:lpstr>
      <vt:lpstr>FA_Rate_OffCampus_Y6</vt:lpstr>
      <vt:lpstr>FA_Rate_PubServ_Y1</vt:lpstr>
      <vt:lpstr>FA_Rate_PubServ_Y2</vt:lpstr>
      <vt:lpstr>FA_Rate_PubServ_Y3</vt:lpstr>
      <vt:lpstr>FA_Rate_PubServ_Y4</vt:lpstr>
      <vt:lpstr>FA_Rate_PubServ_Y5</vt:lpstr>
      <vt:lpstr>FA_Rate_PubServ_Y6</vt:lpstr>
      <vt:lpstr>FA_Rate_Research_Y1</vt:lpstr>
      <vt:lpstr>FA_Rate_Research_Y2</vt:lpstr>
      <vt:lpstr>FA_Rate_Research_Y3</vt:lpstr>
      <vt:lpstr>FA_Rate_Research_Y4</vt:lpstr>
      <vt:lpstr>FA_Rate_Research_Y5</vt:lpstr>
      <vt:lpstr>FA_Rate_Research_Y6</vt:lpstr>
      <vt:lpstr>FA_Rate_Y1</vt:lpstr>
      <vt:lpstr>FA_Rate_Y2</vt:lpstr>
      <vt:lpstr>FA_Rate_Y3</vt:lpstr>
      <vt:lpstr>FA_Rate_Y4</vt:lpstr>
      <vt:lpstr>FA_Rate_Y5</vt:lpstr>
      <vt:lpstr>FA_Rate_Y6</vt:lpstr>
      <vt:lpstr>FringeRate_Y1_Classified</vt:lpstr>
      <vt:lpstr>FringeRate_Y1_Faculty</vt:lpstr>
      <vt:lpstr>FringeRate_Y1_GradStudent</vt:lpstr>
      <vt:lpstr>FringeRate_Y1_LTE</vt:lpstr>
      <vt:lpstr>FringeRate_Y1_PostDoc</vt:lpstr>
      <vt:lpstr>FringeRate_Y1_RA</vt:lpstr>
      <vt:lpstr>FringeRate_Y1_Student</vt:lpstr>
      <vt:lpstr>FringeRate_Y2_Classified</vt:lpstr>
      <vt:lpstr>FringeRate_Y2_Faculty</vt:lpstr>
      <vt:lpstr>FringeRate_Y2_GradStudent</vt:lpstr>
      <vt:lpstr>FringeRate_Y2_LTE</vt:lpstr>
      <vt:lpstr>FringeRate_Y2_PostDoc</vt:lpstr>
      <vt:lpstr>FringeRate_Y2_RA</vt:lpstr>
      <vt:lpstr>FringeRate_Y2_Student</vt:lpstr>
      <vt:lpstr>FringeRate_Y3_Classified</vt:lpstr>
      <vt:lpstr>FringeRate_Y3_Faculty</vt:lpstr>
      <vt:lpstr>FringeRate_Y3_GradStudent</vt:lpstr>
      <vt:lpstr>FringeRate_Y3_LTE</vt:lpstr>
      <vt:lpstr>FringeRate_Y3_PostDoc</vt:lpstr>
      <vt:lpstr>FringeRate_Y3_RA</vt:lpstr>
      <vt:lpstr>FringeRate_Y3_Student</vt:lpstr>
      <vt:lpstr>FringeRate_Y4_Classified</vt:lpstr>
      <vt:lpstr>FringeRate_Y4_Faculty</vt:lpstr>
      <vt:lpstr>FringeRate_Y4_GradStudent</vt:lpstr>
      <vt:lpstr>FringeRate_Y4_LTE</vt:lpstr>
      <vt:lpstr>FringeRate_Y4_PostDoc</vt:lpstr>
      <vt:lpstr>FringeRate_Y4_RA</vt:lpstr>
      <vt:lpstr>FringeRate_Y4_Student</vt:lpstr>
      <vt:lpstr>FringeRate_Y5_Classified</vt:lpstr>
      <vt:lpstr>FringeRate_Y5_Faculty</vt:lpstr>
      <vt:lpstr>FringeRate_Y5_GradStudent</vt:lpstr>
      <vt:lpstr>FringeRate_Y5_LTE</vt:lpstr>
      <vt:lpstr>FringeRate_Y5_PostDoc</vt:lpstr>
      <vt:lpstr>FringeRate_Y5_RA</vt:lpstr>
      <vt:lpstr>FringeRate_Y5_Student</vt:lpstr>
      <vt:lpstr>FringeRate_Y6_Classified</vt:lpstr>
      <vt:lpstr>FringeRate_Y6_Faculty</vt:lpstr>
      <vt:lpstr>FringeRate_Y6_GradStudent</vt:lpstr>
      <vt:lpstr>FringeRate_Y6_LTE</vt:lpstr>
      <vt:lpstr>FringeRate_Y6_PostDoc</vt:lpstr>
      <vt:lpstr>FringeRate_Y6_Student</vt:lpstr>
      <vt:lpstr>'Budget Period 1'!Print_Area</vt:lpstr>
      <vt:lpstr>'Budget Period 2'!Print_Area</vt:lpstr>
      <vt:lpstr>'Budget Period 3'!Print_Area</vt:lpstr>
      <vt:lpstr>'Budget Period 4'!Print_Area</vt:lpstr>
      <vt:lpstr>'Budget Period 5'!Print_Area</vt:lpstr>
      <vt:lpstr>'Budget Period 6'!Print_Area</vt:lpstr>
      <vt:lpstr>Cumulative!Print_Area</vt:lpstr>
      <vt:lpstr>'Detailed Instructions'!Print_Area</vt:lpstr>
      <vt:lpstr>'General Instructions'!Print_Area</vt:lpstr>
      <vt:lpstr>Industry!Print_Area</vt:lpstr>
      <vt:lpstr>Modular!Print_Area</vt:lpstr>
      <vt:lpstr>'Project Data'!Print_Area</vt:lpstr>
      <vt:lpstr>Rates!Print_Area</vt:lpstr>
      <vt:lpstr>Totals!Print_Area</vt:lpstr>
      <vt:lpstr>'Budget Period 1'!Print_Titles</vt:lpstr>
      <vt:lpstr>'Budget Period 2'!Print_Titles</vt:lpstr>
      <vt:lpstr>'Budget Period 3'!Print_Titles</vt:lpstr>
      <vt:lpstr>'Budget Period 4'!Print_Titles</vt:lpstr>
      <vt:lpstr>'Budget Period 5'!Print_Titles</vt:lpstr>
      <vt:lpstr>'Budget Period 6'!Print_Titles</vt:lpstr>
      <vt:lpstr>Result_Base</vt:lpstr>
      <vt:lpstr>Result_EquipmentCost_Y1</vt:lpstr>
      <vt:lpstr>Result_EquipmentCost_Y2</vt:lpstr>
      <vt:lpstr>Result_EquipmentCost_Y3</vt:lpstr>
      <vt:lpstr>Result_EquipmentCost_Y4</vt:lpstr>
      <vt:lpstr>Result_EquipmentCost_Y5</vt:lpstr>
      <vt:lpstr>Result_EquipmentCost_Y6</vt:lpstr>
      <vt:lpstr>Result_FACostBase_Y1</vt:lpstr>
      <vt:lpstr>Result_FACostBase_Y2</vt:lpstr>
      <vt:lpstr>Result_FACostBase_Y3</vt:lpstr>
      <vt:lpstr>Result_FACostBase_Y4</vt:lpstr>
      <vt:lpstr>Result_FACostBase_Y5</vt:lpstr>
      <vt:lpstr>Result_FACostBase_Y6</vt:lpstr>
      <vt:lpstr>Result_FringeBenefits_Y1</vt:lpstr>
      <vt:lpstr>Result_FringeBenefits_Y2</vt:lpstr>
      <vt:lpstr>Result_FringeBenefits_Y3</vt:lpstr>
      <vt:lpstr>Result_FringeBenefits_Y4</vt:lpstr>
      <vt:lpstr>Result_FringeBenefits_Y5</vt:lpstr>
      <vt:lpstr>Result_FringeBenefits_Y6</vt:lpstr>
      <vt:lpstr>Result_GradAsstFringe_Y1</vt:lpstr>
      <vt:lpstr>Result_GradAsstFringe_Y2</vt:lpstr>
      <vt:lpstr>Result_GradAsstFringe_Y3</vt:lpstr>
      <vt:lpstr>Result_GradAsstFringe_Y4</vt:lpstr>
      <vt:lpstr>Result_GradAsstFringe_Y5</vt:lpstr>
      <vt:lpstr>Result_GradAsstFringe_Y6</vt:lpstr>
      <vt:lpstr>Result_GradAsstSalary_Y1</vt:lpstr>
      <vt:lpstr>Result_GradAsstSalary_Y2</vt:lpstr>
      <vt:lpstr>Result_GradAsstSalary_Y3</vt:lpstr>
      <vt:lpstr>Result_GradAsstSalary_Y4</vt:lpstr>
      <vt:lpstr>Result_GradAsstSalary_Y5</vt:lpstr>
      <vt:lpstr>Result_GradAsstSalary_Y6</vt:lpstr>
      <vt:lpstr>Result_IndirectCosts_Y1</vt:lpstr>
      <vt:lpstr>Result_IndirectCosts_Y2</vt:lpstr>
      <vt:lpstr>Result_IndirectCosts_Y3</vt:lpstr>
      <vt:lpstr>Result_IndirectCosts_Y4</vt:lpstr>
      <vt:lpstr>Result_IndirectCosts_Y5</vt:lpstr>
      <vt:lpstr>Result_IndirectCosts_Y6</vt:lpstr>
      <vt:lpstr>Result_InflationYears</vt:lpstr>
      <vt:lpstr>Result_OtherDirectCosts_Y1</vt:lpstr>
      <vt:lpstr>Result_OtherDirectCosts_Y2</vt:lpstr>
      <vt:lpstr>Result_OtherDirectCosts_Y3</vt:lpstr>
      <vt:lpstr>Result_OtherDirectCosts_Y4</vt:lpstr>
      <vt:lpstr>Result_OtherDirectCosts_Y5</vt:lpstr>
      <vt:lpstr>Result_OtherDirectCosts_Y6</vt:lpstr>
      <vt:lpstr>Result_ParticipantCosts_Y1</vt:lpstr>
      <vt:lpstr>Result_ParticipantCosts_Y2</vt:lpstr>
      <vt:lpstr>Result_ParticipantCosts_Y3</vt:lpstr>
      <vt:lpstr>Result_ParticipantCosts_Y4</vt:lpstr>
      <vt:lpstr>Result_ParticipantCosts_Y5</vt:lpstr>
      <vt:lpstr>Result_ParticipantCosts_Y6</vt:lpstr>
      <vt:lpstr>Result_PersonnelCosts_Y1</vt:lpstr>
      <vt:lpstr>Result_PersonnelCosts_Y2</vt:lpstr>
      <vt:lpstr>Result_PersonnelCosts_Y3</vt:lpstr>
      <vt:lpstr>Result_PersonnelCosts_Y4</vt:lpstr>
      <vt:lpstr>Result_PersonnelCosts_Y5</vt:lpstr>
      <vt:lpstr>Result_PersonnelCosts_Y6</vt:lpstr>
      <vt:lpstr>Result_PersonnelFringe_Y1</vt:lpstr>
      <vt:lpstr>Result_PersonnelFringe_Y2</vt:lpstr>
      <vt:lpstr>Result_PersonnelFringe_Y3</vt:lpstr>
      <vt:lpstr>Result_PersonnelFringe_Y4</vt:lpstr>
      <vt:lpstr>Result_PersonnelFringe_Y5</vt:lpstr>
      <vt:lpstr>Result_PersonnelFringe_Y6</vt:lpstr>
      <vt:lpstr>Result_PersonnelSalary_Y1</vt:lpstr>
      <vt:lpstr>Result_PersonnelSalary_Y2</vt:lpstr>
      <vt:lpstr>Result_PersonnelSalary_Y3</vt:lpstr>
      <vt:lpstr>Result_PersonnelSalary_Y4</vt:lpstr>
      <vt:lpstr>Result_PersonnelSalary_Y5</vt:lpstr>
      <vt:lpstr>Result_PersonnelSalary_Y6</vt:lpstr>
      <vt:lpstr>Result_ProjectType</vt:lpstr>
      <vt:lpstr>Result_SalariesWages_Y1</vt:lpstr>
      <vt:lpstr>Result_SalariesWages_Y2</vt:lpstr>
      <vt:lpstr>Result_SalariesWages_Y3</vt:lpstr>
      <vt:lpstr>Result_SalariesWages_Y4</vt:lpstr>
      <vt:lpstr>Result_SalariesWages_Y5</vt:lpstr>
      <vt:lpstr>Result_SalariesWages_Y6</vt:lpstr>
      <vt:lpstr>Result_SponsorType</vt:lpstr>
      <vt:lpstr>Result_StudentFringe_Y1</vt:lpstr>
      <vt:lpstr>Result_StudentFringe_Y2</vt:lpstr>
      <vt:lpstr>Result_StudentFringe_Y3</vt:lpstr>
      <vt:lpstr>Result_StudentFringe_Y4</vt:lpstr>
      <vt:lpstr>Result_StudentFringe_Y5</vt:lpstr>
      <vt:lpstr>Result_StudentFringe_Y6</vt:lpstr>
      <vt:lpstr>Result_StudentSalary_Y1</vt:lpstr>
      <vt:lpstr>Result_StudentSalary_Y2</vt:lpstr>
      <vt:lpstr>Result_StudentSalary_Y3</vt:lpstr>
      <vt:lpstr>Result_StudentSalary_Y4</vt:lpstr>
      <vt:lpstr>Result_StudentSalary_Y5</vt:lpstr>
      <vt:lpstr>Result_StudentSalary_Y6</vt:lpstr>
      <vt:lpstr>Result_SubawardBase_Y1_1</vt:lpstr>
      <vt:lpstr>Result_SubawardBase_Y1_2</vt:lpstr>
      <vt:lpstr>Result_SubawardBase_Y1_3</vt:lpstr>
      <vt:lpstr>Result_SubawardBase_Y1_4</vt:lpstr>
      <vt:lpstr>Result_SubawardBase_Y1_5</vt:lpstr>
      <vt:lpstr>Result_SubawardBase_Y1_TOTAL</vt:lpstr>
      <vt:lpstr>Result_SubawardBase_Y2_1</vt:lpstr>
      <vt:lpstr>Result_SubawardBase_Y2_2</vt:lpstr>
      <vt:lpstr>Result_SubawardBase_Y2_3</vt:lpstr>
      <vt:lpstr>Result_SubawardBase_Y2_4</vt:lpstr>
      <vt:lpstr>Result_SubawardBase_Y2_5</vt:lpstr>
      <vt:lpstr>Result_SubawardBase_Y2_TOTAL</vt:lpstr>
      <vt:lpstr>Result_SubawardBase_Y3_1</vt:lpstr>
      <vt:lpstr>Result_SubawardBase_Y3_2</vt:lpstr>
      <vt:lpstr>Result_SubawardBase_Y3_3</vt:lpstr>
      <vt:lpstr>Result_SubawardBase_Y3_4</vt:lpstr>
      <vt:lpstr>Result_SubawardBase_Y3_5</vt:lpstr>
      <vt:lpstr>Result_SubawardBase_Y3_TOTAL</vt:lpstr>
      <vt:lpstr>Result_SubawardBase_Y4_1</vt:lpstr>
      <vt:lpstr>Result_SubawardBase_Y4_2</vt:lpstr>
      <vt:lpstr>Result_SubawardBase_Y4_3</vt:lpstr>
      <vt:lpstr>Result_SubawardBase_Y4_4</vt:lpstr>
      <vt:lpstr>Result_SubawardBase_Y4_5</vt:lpstr>
      <vt:lpstr>Result_SubawardBase_Y4_TOTAL</vt:lpstr>
      <vt:lpstr>Result_SubawardBase_Y5_1</vt:lpstr>
      <vt:lpstr>Result_SubawardBase_Y5_2</vt:lpstr>
      <vt:lpstr>Result_SubawardBase_Y5_3</vt:lpstr>
      <vt:lpstr>Result_SubawardBase_Y5_4</vt:lpstr>
      <vt:lpstr>Result_SubawardBase_Y5_5</vt:lpstr>
      <vt:lpstr>Result_SubawardBase_Y5_TOTAL</vt:lpstr>
      <vt:lpstr>Result_SubawardBase_Y6_1</vt:lpstr>
      <vt:lpstr>Result_SubawardBase_Y6_2</vt:lpstr>
      <vt:lpstr>Result_SubawardBase_Y6_3</vt:lpstr>
      <vt:lpstr>Result_SubawardBase_Y6_4</vt:lpstr>
      <vt:lpstr>Result_SubawardBase_Y6_5</vt:lpstr>
      <vt:lpstr>Result_SubawardBase_Y6_TOTAL</vt:lpstr>
      <vt:lpstr>Result_SubawardCosts_Y1</vt:lpstr>
      <vt:lpstr>Result_SubawardCosts_Y2</vt:lpstr>
      <vt:lpstr>Result_SubawardCosts_Y3</vt:lpstr>
      <vt:lpstr>Result_SubawardCosts_Y4</vt:lpstr>
      <vt:lpstr>Result_SubawardCosts_Y5</vt:lpstr>
      <vt:lpstr>Result_SubawardCosts_Y6</vt:lpstr>
      <vt:lpstr>Result_TotalDirectCosts_Y1</vt:lpstr>
      <vt:lpstr>Result_TotalDirectCosts_Y2</vt:lpstr>
      <vt:lpstr>Result_TotalDirectCosts_Y3</vt:lpstr>
      <vt:lpstr>Result_TotalDirectCosts_Y4</vt:lpstr>
      <vt:lpstr>Result_TotalDirectCosts_Y5</vt:lpstr>
      <vt:lpstr>Result_TotalDirectCosts_Y6</vt:lpstr>
      <vt:lpstr>Result_TravelDomestic_Y1</vt:lpstr>
      <vt:lpstr>Result_TravelDomestic_Y2</vt:lpstr>
      <vt:lpstr>Result_TravelDomestic_Y3</vt:lpstr>
      <vt:lpstr>Result_TravelDomestic_Y4</vt:lpstr>
      <vt:lpstr>Result_TravelDomestic_Y5</vt:lpstr>
      <vt:lpstr>Result_TravelDomestic_Y6</vt:lpstr>
      <vt:lpstr>Result_TravelForeign_Y1</vt:lpstr>
      <vt:lpstr>Result_TravelForeign_Y2</vt:lpstr>
      <vt:lpstr>Result_TravelForeign_Y3</vt:lpstr>
      <vt:lpstr>Result_TravelForeign_Y4</vt:lpstr>
      <vt:lpstr>Result_TravelForeign_Y5</vt:lpstr>
      <vt:lpstr>Result_TravelForeign_Y6</vt:lpstr>
      <vt:lpstr>Result_TravelTotal_Y1</vt:lpstr>
      <vt:lpstr>Result_TravelTotal_Y2</vt:lpstr>
      <vt:lpstr>Result_TravelTotal_Y3</vt:lpstr>
      <vt:lpstr>Result_TravelTotal_Y4</vt:lpstr>
      <vt:lpstr>Result_TravelTotal_Y5</vt:lpstr>
      <vt:lpstr>Result_TravelTotal_Y6</vt:lpstr>
      <vt:lpstr>Result_Tuition_Y1</vt:lpstr>
      <vt:lpstr>Result_Tuition_Y2</vt:lpstr>
      <vt:lpstr>Result_Tuition_Y3</vt:lpstr>
      <vt:lpstr>Result_Tuition_Y4</vt:lpstr>
      <vt:lpstr>Result_Tuition_Y5</vt:lpstr>
      <vt:lpstr>Result_Tuition_Y6</vt:lpstr>
      <vt:lpstr>Result_TuitionTOTAL_Y1</vt:lpstr>
      <vt:lpstr>Result_TuitionTOTAL_Y2</vt:lpstr>
      <vt:lpstr>Result_TuitionTOTAL_Y3</vt:lpstr>
      <vt:lpstr>Result_TuitionTOTAL_Y4</vt:lpstr>
      <vt:lpstr>Result_TuitionTOTAL_Y5</vt:lpstr>
      <vt:lpstr>Result_TuitionTOTAL_Y6</vt:lpstr>
      <vt:lpstr>Salary_MinimumFLSAPostDoc_Academic_Y1</vt:lpstr>
      <vt:lpstr>Salary_MinimumFLSAPostDoc_Academic_Y2</vt:lpstr>
      <vt:lpstr>Salary_MinimumFLSAPostDoc_Academic_Y3</vt:lpstr>
      <vt:lpstr>Salary_MinimumFLSAPostDoc_Academic_Y4</vt:lpstr>
      <vt:lpstr>Salary_MinimumFLSAPostDoc_Academic_Y5</vt:lpstr>
      <vt:lpstr>Salary_MinimumFLSAPostDoc_Academic_Y6</vt:lpstr>
      <vt:lpstr>Salary_MinimumFLSAPostDoc_Annual_Y1</vt:lpstr>
      <vt:lpstr>Salary_MinimumFLSAPostDoc_Annual_Y2</vt:lpstr>
      <vt:lpstr>Salary_MinimumFLSAPostDoc_Annual_Y3</vt:lpstr>
      <vt:lpstr>Salary_MinimumFLSAPostDoc_Annual_Y4</vt:lpstr>
      <vt:lpstr>Salary_MinimumFLSAPostDoc_Annual_Y5</vt:lpstr>
      <vt:lpstr>Salary_MinimumFLSAPostDoc_Annual_Y6</vt:lpstr>
      <vt:lpstr>Stipend_Y1_PA_Doc_Academic_33</vt:lpstr>
      <vt:lpstr>Stipend_Y1_PA_Doc_Academic_50</vt:lpstr>
      <vt:lpstr>Stipend_Y1_PA_Doc_Annual_33</vt:lpstr>
      <vt:lpstr>Stipend_Y1_PA_Doc_Annual_50</vt:lpstr>
      <vt:lpstr>Stipend_Y1_PA_NonDoc_Academic_33</vt:lpstr>
      <vt:lpstr>Stipend_Y1_PA_NonDoc_Academic_50</vt:lpstr>
      <vt:lpstr>Stipend_Y1_PA_NonDoc_Annual_33</vt:lpstr>
      <vt:lpstr>Stipend_Y1_PA_NonDoc_Annual_50</vt:lpstr>
      <vt:lpstr>Stipend_Y2_PA_Doc_Academic_33</vt:lpstr>
      <vt:lpstr>Stipend_Y2_PA_Doc_Academic_50</vt:lpstr>
      <vt:lpstr>Stipend_Y2_PA_Doc_Annual_33</vt:lpstr>
      <vt:lpstr>Stipend_Y2_PA_Doc_Annual_50</vt:lpstr>
      <vt:lpstr>Stipend_Y2_PA_NonDoc_Academic_33</vt:lpstr>
      <vt:lpstr>Stipend_Y2_PA_NonDoc_Academic_50</vt:lpstr>
      <vt:lpstr>Stipend_Y2_PA_NonDoc_Annual_33</vt:lpstr>
      <vt:lpstr>Stipend_Y2_PA_NonDoc_Annual_50</vt:lpstr>
      <vt:lpstr>Stipend_Y3_PA_Doc_Academic_33</vt:lpstr>
      <vt:lpstr>Stipend_Y3_PA_Doc_Academic_50</vt:lpstr>
      <vt:lpstr>Stipend_Y3_PA_Doc_Annual_33</vt:lpstr>
      <vt:lpstr>Stipend_Y3_PA_Doc_Annual_50</vt:lpstr>
      <vt:lpstr>Stipend_Y3_PA_NonDoc_Academic_33</vt:lpstr>
      <vt:lpstr>Stipend_Y3_PA_NonDoc_Academic_50</vt:lpstr>
      <vt:lpstr>Stipend_Y3_PA_NonDoc_Annual_33</vt:lpstr>
      <vt:lpstr>Stipend_Y3_PA_NonDoc_Annual_50</vt:lpstr>
      <vt:lpstr>Stipend_Y4_PA_Doc_Academic_33</vt:lpstr>
      <vt:lpstr>Stipend_Y4_PA_Doc_Academic_50</vt:lpstr>
      <vt:lpstr>Stipend_Y4_PA_Doc_Annual_33</vt:lpstr>
      <vt:lpstr>Stipend_Y4_PA_Doc_Annual_50</vt:lpstr>
      <vt:lpstr>Stipend_Y4_PA_NonDoc_Academic_33</vt:lpstr>
      <vt:lpstr>Stipend_Y4_PA_NonDoc_Academic_50</vt:lpstr>
      <vt:lpstr>Stipend_Y4_PA_NonDoc_Annual_33</vt:lpstr>
      <vt:lpstr>Stipend_Y4_PA_NonDoc_Annual_50</vt:lpstr>
      <vt:lpstr>Stipend_Y5_PA_Doc_Academic_33</vt:lpstr>
      <vt:lpstr>Stipend_Y5_PA_Doc_Academic_50</vt:lpstr>
      <vt:lpstr>Stipend_Y5_PA_Doc_Annual_33</vt:lpstr>
      <vt:lpstr>Stipend_Y5_PA_Doc_Annual_50</vt:lpstr>
      <vt:lpstr>Stipend_Y5_PA_NonDoc_Academic_33</vt:lpstr>
      <vt:lpstr>Stipend_Y5_PA_NonDoc_Academic_50</vt:lpstr>
      <vt:lpstr>Stipend_Y5_PA_NonDoc_Annual_33</vt:lpstr>
      <vt:lpstr>Stipend_Y5_PA_NonDoc_Annual_50</vt:lpstr>
      <vt:lpstr>Stipend_Y6_PA_Doc_Academic_33</vt:lpstr>
      <vt:lpstr>Stipend_Y6_PA_Doc_Academic_50</vt:lpstr>
      <vt:lpstr>Stipend_Y6_PA_Doc_Annual_33</vt:lpstr>
      <vt:lpstr>Stipend_Y6_PA_Doc_Annual_50</vt:lpstr>
      <vt:lpstr>Stipend_Y6_PA_NonDoc_Academic_33</vt:lpstr>
      <vt:lpstr>Stipend_Y6_PA_NonDoc_Academic_50</vt:lpstr>
      <vt:lpstr>Stipend_Y6_PA_NonDoc_Annual_33</vt:lpstr>
      <vt:lpstr>Stipend_Y6_PA_NonDoc_Annual_50</vt:lpstr>
      <vt:lpstr>Tuition_Y1_PercentIncrease</vt:lpstr>
      <vt:lpstr>Tuition_Y2_PercentIncrease</vt:lpstr>
      <vt:lpstr>Tuition_Y3_PercentIncrease</vt:lpstr>
      <vt:lpstr>TuitionRemission_GradAssistants_Y1</vt:lpstr>
      <vt:lpstr>TuitionRemission_GradAssistants_Y2</vt:lpstr>
      <vt:lpstr>TuitionRemission_GradAssistants_Y3</vt:lpstr>
      <vt:lpstr>TuitionRemission_GradAssistants_Y4</vt:lpstr>
      <vt:lpstr>TuitionRemission_GradAssistants_Y5</vt:lpstr>
      <vt:lpstr>TuitionRemission_GradAssistants_Y6</vt:lpstr>
      <vt:lpstr>Var_EarliestProjectStartDate</vt:lpstr>
      <vt:lpstr>Var_FiscalYearCrossover</vt:lpstr>
      <vt:lpstr>Var_FiscalYearCrossoverDate</vt:lpstr>
      <vt:lpstr>Var_FiscalYearStartDate</vt:lpstr>
      <vt:lpstr>Var_Index_RABaseStipend</vt:lpstr>
      <vt:lpstr>Var_IndirectMaximum</vt:lpstr>
      <vt:lpstr>Var_LatestProjectStartDate</vt:lpstr>
      <vt:lpstr>Var_Module_Increment</vt:lpstr>
      <vt:lpstr>Var_NRTRRate</vt:lpstr>
      <vt:lpstr>Var_PA_Doc_BaseStipend_Acad50Percent</vt:lpstr>
      <vt:lpstr>Var_PA_NonDoc_BaseStipend_Acad50Percent</vt:lpstr>
      <vt:lpstr>Var_PAStipendFirstYearPercentageIncrease</vt:lpstr>
      <vt:lpstr>Var_PAStipendStartDatePercentageIncrease</vt:lpstr>
      <vt:lpstr>Var_PAStipendSubsequentYearPercentageIncrease</vt:lpstr>
      <vt:lpstr>Var_PersonHoursPerMonth</vt:lpstr>
      <vt:lpstr>Var_RAStipendFirstYearPercentageIncrease</vt:lpstr>
      <vt:lpstr>Var_RAStipendStartDatePercentageIncrease</vt:lpstr>
      <vt:lpstr>Var_RAStipendSubsequentYearPercentageIncrease</vt:lpstr>
      <vt:lpstr>Var_SpreadsheetRevisionDate</vt:lpstr>
      <vt:lpstr>Var_TuitionCalcCutoverDate</vt:lpstr>
    </vt:vector>
  </TitlesOfParts>
  <Company>University of Wisconsin - Milwaukee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Proposal Budget Tool</dc:title>
  <dc:creator>joseph shane dunlap</dc:creator>
  <dc:description>UW-Milwaukee Graduate School</dc:description>
  <cp:lastModifiedBy>Joseph S Dunlap</cp:lastModifiedBy>
  <cp:lastPrinted>2021-12-27T18:46:48Z</cp:lastPrinted>
  <dcterms:created xsi:type="dcterms:W3CDTF">2008-09-08T19:56:51Z</dcterms:created>
  <dcterms:modified xsi:type="dcterms:W3CDTF">2023-01-10T15:07:44Z</dcterms:modified>
</cp:coreProperties>
</file>